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definedNames>
    <definedName name="_xlnm.Print_Area" localSheetId="0">'Місто'!$A$1:$Q$655</definedName>
  </definedNames>
  <calcPr fullCalcOnLoad="1" refMode="R1C1"/>
</workbook>
</file>

<file path=xl/sharedStrings.xml><?xml version="1.0" encoding="utf-8"?>
<sst xmlns="http://schemas.openxmlformats.org/spreadsheetml/2006/main" count="2589" uniqueCount="1236">
  <si>
    <t>Надання пільг багатодітним сім'ям на придбання твердого палива та скрапленого газу</t>
  </si>
  <si>
    <t>1010180</t>
  </si>
  <si>
    <t>1410180</t>
  </si>
  <si>
    <t>1510180</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</si>
  <si>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</si>
  <si>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</si>
  <si>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</si>
  <si>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</si>
  <si>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</si>
  <si>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</si>
  <si>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</si>
  <si>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</si>
  <si>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</si>
  <si>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</si>
  <si>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</si>
  <si>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</si>
  <si>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</si>
  <si>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</si>
  <si>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</si>
  <si>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</si>
  <si>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</si>
  <si>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</si>
  <si>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</si>
  <si>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</si>
  <si>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</si>
  <si>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</si>
  <si>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</si>
  <si>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</si>
  <si>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</si>
  <si>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</si>
  <si>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</si>
  <si>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</si>
  <si>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</si>
  <si>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</si>
  <si>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</si>
  <si>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</si>
  <si>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</si>
  <si>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</si>
  <si>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</si>
  <si>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</si>
  <si>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</si>
  <si>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</si>
  <si>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</si>
  <si>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</si>
  <si>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</si>
  <si>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</si>
  <si>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</si>
  <si>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</si>
  <si>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</si>
  <si>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</si>
  <si>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</si>
  <si>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</si>
  <si>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</si>
  <si>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</si>
  <si>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</si>
  <si>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</si>
  <si>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</si>
  <si>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</si>
  <si>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</si>
  <si>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</si>
  <si>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</si>
  <si>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</si>
  <si>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</si>
  <si>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</si>
  <si>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</si>
  <si>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</si>
  <si>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</si>
  <si>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</si>
  <si>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</si>
  <si>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</si>
  <si>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</si>
  <si>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</si>
  <si>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</si>
  <si>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</si>
  <si>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</si>
  <si>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</si>
  <si>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</si>
  <si>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</si>
  <si>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</si>
  <si>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</si>
  <si>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</si>
  <si>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</si>
  <si>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</si>
  <si>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</si>
  <si>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</si>
  <si>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</si>
  <si>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</si>
  <si>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</si>
  <si>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</si>
  <si>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</si>
  <si>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</si>
  <si>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</si>
  <si>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</si>
  <si>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</si>
  <si>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</si>
  <si>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</si>
  <si>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</si>
  <si>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</si>
  <si>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</si>
  <si>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</si>
  <si>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</si>
  <si>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</si>
  <si>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</si>
  <si>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</si>
  <si>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</si>
  <si>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</si>
  <si>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</si>
  <si>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</si>
  <si>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</si>
  <si>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</si>
  <si>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</si>
  <si>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</si>
  <si>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</si>
  <si>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</si>
  <si>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</si>
  <si>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</si>
  <si>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</si>
  <si>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</si>
  <si>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</si>
  <si>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</si>
  <si>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</si>
  <si>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</si>
  <si>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</si>
  <si>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</si>
  <si>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</si>
  <si>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</si>
  <si>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</si>
  <si>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</si>
  <si>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</si>
  <si>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</si>
  <si>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</si>
  <si>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</si>
  <si>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</si>
  <si>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</si>
  <si>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</si>
  <si>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</si>
  <si>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</si>
  <si>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</si>
  <si>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</si>
  <si>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</si>
  <si>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</si>
  <si>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</si>
  <si>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</si>
  <si>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</si>
  <si>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</si>
  <si>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</si>
  <si>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</si>
  <si>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</si>
  <si>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</si>
  <si>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</si>
  <si>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</si>
  <si>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</si>
  <si>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</si>
  <si>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</si>
  <si>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</si>
  <si>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</si>
  <si>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</si>
  <si>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</si>
  <si>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</si>
  <si>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</si>
  <si>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</si>
  <si>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</si>
  <si>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</si>
  <si>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</si>
  <si>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</si>
  <si>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</si>
  <si>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</si>
  <si>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</si>
  <si>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</si>
  <si>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</si>
  <si>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</si>
  <si>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</si>
  <si>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</si>
  <si>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</si>
  <si>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</si>
  <si>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</si>
  <si>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</si>
  <si>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</si>
  <si>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</si>
  <si>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</si>
  <si>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</si>
  <si>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</si>
  <si>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</si>
  <si>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</si>
  <si>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</si>
  <si>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</si>
  <si>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</si>
  <si>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</si>
  <si>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</si>
  <si>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</si>
  <si>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</si>
  <si>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</si>
  <si>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</si>
  <si>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</si>
  <si>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</si>
  <si>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</si>
  <si>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</si>
  <si>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</si>
  <si>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</si>
  <si>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</si>
  <si>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</si>
  <si>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</si>
  <si>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</si>
  <si>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</si>
  <si>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</si>
  <si>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</si>
  <si>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</si>
  <si>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</si>
  <si>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</si>
  <si>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</si>
  <si>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</si>
  <si>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</si>
  <si>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</si>
  <si>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</si>
  <si>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</si>
  <si>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</si>
  <si>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</si>
  <si>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</si>
  <si>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</si>
  <si>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</si>
  <si>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</si>
  <si>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</si>
  <si>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</si>
  <si>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</si>
  <si>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</si>
  <si>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</si>
  <si>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</si>
  <si>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</si>
  <si>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</si>
  <si>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</si>
  <si>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</si>
  <si>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</si>
  <si>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</si>
  <si>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</si>
  <si>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</si>
  <si>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</si>
  <si>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</si>
  <si>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</si>
  <si>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</si>
  <si>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</si>
  <si>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</si>
  <si>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</si>
  <si>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</si>
  <si>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</si>
  <si>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</si>
  <si>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</si>
  <si>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</si>
  <si>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</si>
  <si>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</si>
  <si>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</si>
  <si>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</si>
  <si>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</si>
  <si>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</si>
  <si>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</si>
  <si>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</si>
  <si>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</si>
  <si>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</si>
  <si>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</si>
  <si>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</si>
  <si>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</si>
  <si>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</si>
  <si>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</si>
  <si>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</si>
  <si>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</si>
  <si>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</si>
  <si>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</si>
  <si>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</si>
  <si>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</si>
  <si>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</si>
  <si>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</si>
  <si>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</si>
  <si>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</si>
  <si>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</si>
  <si>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</si>
  <si>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</si>
  <si>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</si>
  <si>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</si>
  <si>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</si>
  <si>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</si>
  <si>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</si>
  <si>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</si>
  <si>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</si>
  <si>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</si>
  <si>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</si>
  <si>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</si>
  <si>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</si>
  <si>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</si>
  <si>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</si>
  <si>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</si>
  <si>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</si>
  <si>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</si>
  <si>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</si>
  <si>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</si>
  <si>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</si>
  <si>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</si>
  <si>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</si>
  <si>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</si>
  <si>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</si>
  <si>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</si>
  <si>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</si>
  <si>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</si>
  <si>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</si>
  <si>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</si>
  <si>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</si>
  <si>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</si>
  <si>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</si>
  <si>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</si>
  <si>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соціального захисту населення</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</si>
  <si>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</si>
  <si>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</si>
  <si>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</si>
  <si>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</si>
  <si>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</si>
  <si>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</si>
  <si>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</si>
  <si>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</si>
  <si>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</si>
  <si>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</si>
  <si>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</si>
  <si>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</si>
  <si>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</si>
  <si>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</si>
  <si>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</si>
  <si>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</si>
  <si>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</si>
  <si>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</si>
  <si>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</si>
  <si>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</si>
  <si>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</si>
  <si>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</si>
  <si>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</si>
  <si>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</si>
  <si>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</si>
  <si>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</si>
  <si>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</si>
  <si>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</si>
  <si>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</si>
  <si>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</si>
  <si>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</si>
  <si>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</si>
  <si>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</si>
  <si>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</si>
  <si>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</si>
  <si>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</si>
  <si>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</si>
  <si>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</si>
  <si>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</si>
  <si>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</si>
  <si>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</si>
  <si>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</si>
  <si>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</si>
  <si>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</si>
  <si>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</si>
  <si>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</si>
  <si>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</si>
  <si>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</si>
  <si>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</si>
  <si>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</si>
  <si>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</si>
  <si>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</si>
  <si>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</si>
  <si>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</si>
  <si>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</si>
  <si>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</si>
  <si>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</si>
  <si>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</si>
  <si>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</si>
  <si>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</si>
  <si>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</si>
  <si>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</si>
  <si>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</si>
  <si>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</si>
  <si>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</si>
  <si>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</si>
  <si>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</si>
  <si>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</si>
  <si>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</si>
  <si>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</si>
  <si>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</si>
  <si>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</si>
  <si>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</si>
  <si>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</si>
  <si>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</si>
  <si>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</si>
  <si>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</si>
  <si>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</si>
  <si>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</si>
  <si>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</si>
  <si>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</si>
  <si>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</si>
  <si>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</si>
  <si>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</si>
  <si>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</si>
  <si>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</si>
  <si>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</si>
  <si>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</si>
  <si>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</si>
  <si>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</si>
  <si>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</si>
  <si>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</si>
  <si>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</si>
  <si>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</si>
  <si>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</si>
  <si>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</si>
  <si>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</si>
  <si>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</si>
  <si>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</si>
  <si>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</si>
  <si>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</si>
  <si>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</si>
  <si>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</si>
  <si>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</si>
  <si>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</si>
  <si>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</si>
  <si>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</si>
  <si>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</si>
  <si>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</si>
  <si>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</si>
  <si>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</si>
  <si>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</si>
  <si>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</si>
  <si>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</si>
  <si>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</si>
  <si>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</si>
  <si>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</si>
  <si>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</si>
  <si>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</si>
  <si>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</si>
  <si>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</si>
  <si>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</si>
  <si>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</si>
  <si>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</si>
  <si>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</si>
  <si>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</si>
  <si>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</si>
  <si>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</si>
  <si>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</si>
  <si>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</si>
  <si>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</si>
  <si>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</si>
  <si>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</si>
  <si>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</si>
  <si>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</si>
  <si>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</si>
  <si>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</si>
  <si>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</si>
  <si>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</si>
  <si>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</si>
  <si>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</si>
  <si>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</si>
  <si>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</si>
  <si>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</si>
  <si>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Соціальні програми і заходи державних органів у справах молоді</t>
  </si>
  <si>
    <t>1513131</t>
  </si>
  <si>
    <t>1513132</t>
  </si>
  <si>
    <t>1513140</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</si>
  <si>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</si>
  <si>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</si>
  <si>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</si>
  <si>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</si>
  <si>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</si>
  <si>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</si>
  <si>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</si>
  <si>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</si>
  <si>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</si>
  <si>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</si>
  <si>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</si>
  <si>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</si>
  <si>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</si>
  <si>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</si>
  <si>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</si>
  <si>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</si>
  <si>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</si>
  <si>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</si>
  <si>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</si>
  <si>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</si>
  <si>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</si>
  <si>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</si>
  <si>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</si>
  <si>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</si>
  <si>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</si>
  <si>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</si>
  <si>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</si>
  <si>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</si>
  <si>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</si>
  <si>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</si>
  <si>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</si>
  <si>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</si>
  <si>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</si>
  <si>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</si>
  <si>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</si>
  <si>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</si>
  <si>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</si>
  <si>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</si>
  <si>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</si>
  <si>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</si>
  <si>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</si>
  <si>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</si>
  <si>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</si>
  <si>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</si>
  <si>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</si>
  <si>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</si>
  <si>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</si>
  <si>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</si>
  <si>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</si>
  <si>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</si>
  <si>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</si>
  <si>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</si>
  <si>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</si>
  <si>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</si>
  <si>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</si>
  <si>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</si>
  <si>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</si>
  <si>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</si>
  <si>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</si>
  <si>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</si>
  <si>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</si>
  <si>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</si>
  <si>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</si>
  <si>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</si>
  <si>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</si>
  <si>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</si>
  <si>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</si>
  <si>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</si>
  <si>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</si>
  <si>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</si>
  <si>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РОЗПОДІЛ</t>
  </si>
  <si>
    <t>200700</t>
  </si>
  <si>
    <t>Інші природоохоронні заходи</t>
  </si>
  <si>
    <t>250102</t>
  </si>
  <si>
    <t>Резервний фонд</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</si>
  <si>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</si>
  <si>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</si>
  <si>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</si>
  <si>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</si>
  <si>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</si>
  <si>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</si>
  <si>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</si>
  <si>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</si>
  <si>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</si>
  <si>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</si>
  <si>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</si>
  <si>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</si>
  <si>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</si>
  <si>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</si>
  <si>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</si>
  <si>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</si>
  <si>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</si>
  <si>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</si>
  <si>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</si>
  <si>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6017700</t>
  </si>
  <si>
    <t>6517470</t>
  </si>
  <si>
    <t>9419180</t>
  </si>
  <si>
    <t>9419181</t>
  </si>
  <si>
    <t>9519180</t>
  </si>
  <si>
    <t>9519181</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</si>
  <si>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</si>
  <si>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</si>
  <si>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</si>
  <si>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</si>
  <si>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</si>
  <si>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Первинна медична допомога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</si>
  <si>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</si>
  <si>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</si>
  <si>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Надання пільг окремим категоріям громадян з оплати послуг зв'язку</t>
  </si>
  <si>
    <t>9416310</t>
  </si>
  <si>
    <t>1017701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</si>
  <si>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</si>
  <si>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</si>
  <si>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</si>
  <si>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</si>
  <si>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</si>
  <si>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</si>
  <si>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</si>
  <si>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</si>
  <si>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</si>
  <si>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</si>
  <si>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</si>
  <si>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</si>
  <si>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</si>
  <si>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</si>
  <si>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</si>
  <si>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</si>
  <si>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</si>
  <si>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</si>
  <si>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</si>
  <si>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</si>
  <si>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</si>
  <si>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</si>
  <si>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</si>
  <si>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</si>
  <si>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</si>
  <si>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</si>
  <si>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</si>
  <si>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</si>
  <si>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</si>
  <si>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</si>
  <si>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</si>
  <si>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</si>
  <si>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</si>
  <si>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</si>
  <si>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</si>
  <si>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</si>
  <si>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</si>
  <si>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</si>
  <si>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</si>
  <si>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</si>
  <si>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</si>
  <si>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</si>
  <si>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</si>
  <si>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</si>
  <si>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</si>
  <si>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</si>
  <si>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</si>
  <si>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</si>
  <si>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</si>
  <si>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</si>
  <si>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</si>
  <si>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</si>
  <si>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</si>
  <si>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</si>
  <si>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</si>
  <si>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</si>
  <si>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</si>
  <si>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</si>
  <si>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</si>
  <si>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</si>
  <si>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</si>
  <si>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</si>
  <si>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</si>
  <si>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</si>
  <si>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</si>
  <si>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</si>
  <si>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</si>
  <si>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</si>
  <si>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</si>
  <si>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</si>
  <si>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</si>
  <si>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</si>
  <si>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</si>
  <si>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</si>
  <si>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</si>
  <si>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</si>
  <si>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</si>
  <si>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</si>
  <si>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</si>
  <si>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1513030</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</si>
  <si>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</si>
  <si>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</si>
  <si>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</si>
  <si>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</si>
  <si>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</si>
  <si>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</si>
  <si>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</si>
  <si>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</si>
  <si>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</si>
  <si>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</si>
  <si>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</si>
  <si>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</si>
  <si>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</si>
  <si>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</si>
  <si>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</si>
  <si>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</si>
  <si>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</si>
  <si>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</si>
  <si>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</si>
  <si>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</si>
  <si>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</si>
  <si>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</si>
  <si>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</si>
  <si>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</si>
  <si>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</si>
  <si>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</si>
  <si>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</si>
  <si>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</si>
  <si>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</si>
  <si>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</si>
  <si>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</si>
  <si>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</si>
  <si>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</si>
  <si>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</si>
  <si>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</si>
  <si>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</si>
  <si>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</si>
  <si>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</si>
  <si>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</si>
  <si>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</si>
  <si>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</si>
  <si>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</si>
  <si>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</si>
  <si>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</si>
  <si>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</si>
  <si>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</si>
  <si>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</si>
  <si>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</si>
  <si>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</si>
  <si>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</si>
  <si>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</si>
  <si>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</si>
  <si>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</si>
  <si>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</si>
  <si>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</si>
  <si>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</si>
  <si>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</si>
  <si>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</si>
  <si>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</si>
  <si>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</si>
  <si>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</si>
  <si>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</si>
  <si>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</si>
  <si>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</si>
  <si>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</si>
  <si>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</si>
  <si>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</si>
  <si>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</si>
  <si>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</si>
  <si>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</si>
  <si>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</si>
  <si>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</si>
  <si>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</si>
  <si>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</si>
  <si>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</si>
  <si>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</si>
  <si>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</si>
  <si>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</si>
  <si>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</si>
  <si>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</si>
  <si>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</si>
  <si>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</si>
  <si>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</si>
  <si>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</si>
  <si>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</si>
  <si>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</si>
  <si>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</si>
  <si>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</si>
  <si>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</si>
  <si>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</si>
  <si>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</si>
  <si>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</si>
  <si>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</si>
  <si>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</si>
  <si>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</si>
  <si>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</si>
  <si>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</si>
  <si>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</si>
  <si>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</si>
  <si>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</si>
  <si>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</si>
  <si>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</si>
  <si>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</si>
  <si>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</si>
  <si>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</si>
  <si>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</si>
  <si>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</si>
  <si>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</si>
  <si>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</si>
  <si>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</si>
  <si>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</si>
  <si>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7319100</t>
  </si>
  <si>
    <t>7319180</t>
  </si>
  <si>
    <t>7319181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</si>
  <si>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</si>
  <si>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150111</t>
  </si>
  <si>
    <t>1016340</t>
  </si>
  <si>
    <t>Проведення невідкладних відновлювальних робіт, будівництво та реконструкція спеціалізованих навчальних закладів</t>
  </si>
  <si>
    <t>Р.О.Пидорич</t>
  </si>
  <si>
    <t>070501</t>
  </si>
  <si>
    <t>0930</t>
  </si>
  <si>
    <t>1011100</t>
  </si>
  <si>
    <t>9016010</t>
  </si>
  <si>
    <t>9116010</t>
  </si>
  <si>
    <t>9216010</t>
  </si>
  <si>
    <t>9316010</t>
  </si>
  <si>
    <t>9416010</t>
  </si>
  <si>
    <t>9516010</t>
  </si>
  <si>
    <t>9616010</t>
  </si>
  <si>
    <t>3300000</t>
  </si>
  <si>
    <t>3310000</t>
  </si>
  <si>
    <t>3310100</t>
  </si>
  <si>
    <t>3310180</t>
  </si>
  <si>
    <t>33</t>
  </si>
  <si>
    <t>в т.ч.за рахунок освітньої субенції</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</si>
  <si>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</si>
  <si>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</si>
  <si>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</si>
  <si>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</si>
  <si>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</si>
  <si>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</si>
  <si>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</si>
  <si>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</si>
  <si>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</si>
  <si>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</si>
  <si>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</si>
  <si>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</si>
  <si>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</si>
  <si>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</si>
  <si>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</si>
  <si>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</si>
  <si>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</si>
  <si>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</si>
  <si>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</si>
  <si>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</si>
  <si>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</si>
  <si>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</si>
  <si>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</si>
  <si>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</si>
  <si>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</si>
  <si>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</si>
  <si>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</si>
  <si>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</si>
  <si>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</si>
  <si>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</si>
  <si>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</si>
  <si>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</si>
  <si>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</si>
  <si>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</si>
  <si>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</si>
  <si>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</si>
  <si>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</si>
  <si>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</si>
  <si>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</si>
  <si>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</si>
  <si>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</si>
  <si>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</si>
  <si>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</si>
  <si>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4119100</t>
  </si>
  <si>
    <t>4119110</t>
  </si>
  <si>
    <t>4118000</t>
  </si>
  <si>
    <t>4118600</t>
  </si>
  <si>
    <t>4118606</t>
  </si>
  <si>
    <t>130113</t>
  </si>
  <si>
    <t>Департамент освіти і науки Запорізької міської ради</t>
  </si>
  <si>
    <t>4118603</t>
  </si>
  <si>
    <t>0318609</t>
  </si>
  <si>
    <t>Заходи з інформатизації</t>
  </si>
  <si>
    <t>11</t>
  </si>
  <si>
    <t>1100000</t>
  </si>
  <si>
    <t>1110000</t>
  </si>
  <si>
    <t>1110100</t>
  </si>
  <si>
    <t>1110180</t>
  </si>
  <si>
    <t>1113000</t>
  </si>
  <si>
    <t>1113140</t>
  </si>
  <si>
    <t>1115000</t>
  </si>
  <si>
    <t>1115010</t>
  </si>
  <si>
    <t>1115011</t>
  </si>
  <si>
    <t>1115012</t>
  </si>
  <si>
    <t>1115101</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</si>
  <si>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</si>
  <si>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</si>
  <si>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</si>
  <si>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</si>
  <si>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</si>
  <si>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</si>
  <si>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</si>
  <si>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</si>
  <si>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</si>
  <si>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1019180</t>
  </si>
  <si>
    <t>1019181</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</si>
  <si>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</si>
  <si>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</si>
  <si>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</si>
  <si>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</si>
  <si>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</si>
  <si>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</si>
  <si>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</si>
  <si>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</si>
  <si>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</si>
  <si>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</si>
  <si>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</si>
  <si>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</si>
  <si>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</si>
  <si>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</si>
  <si>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9219100</t>
  </si>
  <si>
    <t>9619100</t>
  </si>
  <si>
    <t>Департамент з управління житлово-комунальним господарством Запорізької міської ради</t>
  </si>
  <si>
    <t>видатків бюджету міста на 2017 рік у розрізі бюджетних програм</t>
  </si>
  <si>
    <t xml:space="preserve">Додаток 3                          </t>
  </si>
  <si>
    <t>0316300</t>
  </si>
  <si>
    <t>Проведення місцевих виборів</t>
  </si>
  <si>
    <t>Проведення виборів та референдумів</t>
  </si>
  <si>
    <t>0160</t>
  </si>
  <si>
    <t xml:space="preserve">в т.ч.за рахунок освітньої субвенції </t>
  </si>
  <si>
    <t>в т.ч.за рахунок освітньої субвенції</t>
  </si>
  <si>
    <t>0318604</t>
  </si>
  <si>
    <t>0318605</t>
  </si>
  <si>
    <t>0318608</t>
  </si>
  <si>
    <t>Підтримка призову на військову службу та заходи з мобілізації</t>
  </si>
  <si>
    <t>в т.ч.за рахунок залишку коштів освітньої субвенції з державного бюджету, що утворився на початок бюджетного періоду</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</si>
  <si>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</si>
  <si>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</si>
  <si>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</si>
  <si>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</si>
  <si>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</si>
  <si>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</si>
  <si>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</si>
  <si>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в т.ч.за рахунок залишку коштів медичної субвенції з державного бюджету, що утворився на початок бюджетного періоду</t>
  </si>
  <si>
    <t xml:space="preserve">в т.ч.за рахунок медичної субвенції </t>
  </si>
  <si>
    <t>в т.ч.за рахунок медичної субвенції</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</si>
  <si>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</si>
  <si>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в тому числі за рахунок субвенції з державного бюджету </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</si>
  <si>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</si>
  <si>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</si>
  <si>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</si>
  <si>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</si>
  <si>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</si>
  <si>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4019100</t>
  </si>
  <si>
    <t>4019110</t>
  </si>
  <si>
    <t>1519100</t>
  </si>
  <si>
    <t>1519180</t>
  </si>
  <si>
    <t>1519181</t>
  </si>
  <si>
    <t>4117700</t>
  </si>
  <si>
    <t>4117701</t>
  </si>
  <si>
    <t>4113401</t>
  </si>
  <si>
    <t>5617300</t>
  </si>
  <si>
    <t>Сільське і лісове господарство, рибне господарство та мисливство</t>
  </si>
  <si>
    <t>0421</t>
  </si>
  <si>
    <t>6016300</t>
  </si>
  <si>
    <t>6017400</t>
  </si>
  <si>
    <t>6019180</t>
  </si>
  <si>
    <t>6019181</t>
  </si>
  <si>
    <t>6717820</t>
  </si>
  <si>
    <t>0220</t>
  </si>
  <si>
    <t>Заходи у сфері захисту населення і території від надзвичайних ситуацій техногенного та природного характеру</t>
  </si>
  <si>
    <t>210106</t>
  </si>
  <si>
    <t>0170</t>
  </si>
  <si>
    <t>Реверсна дотація</t>
  </si>
  <si>
    <t>7618801</t>
  </si>
  <si>
    <t>9018601</t>
  </si>
  <si>
    <t>9018604</t>
  </si>
  <si>
    <t>9018607</t>
  </si>
  <si>
    <t>9018609</t>
  </si>
  <si>
    <t>9019100</t>
  </si>
  <si>
    <t>9118601</t>
  </si>
  <si>
    <t>9118604</t>
  </si>
  <si>
    <t>9118607</t>
  </si>
  <si>
    <t>9118609</t>
  </si>
  <si>
    <t>9218601</t>
  </si>
  <si>
    <t>9218604</t>
  </si>
  <si>
    <t>9218607</t>
  </si>
  <si>
    <t>9218609</t>
  </si>
  <si>
    <t>9318601</t>
  </si>
  <si>
    <t>9318604</t>
  </si>
  <si>
    <t>9318607</t>
  </si>
  <si>
    <t>9318609</t>
  </si>
  <si>
    <t>9319100</t>
  </si>
  <si>
    <t>9319230</t>
  </si>
  <si>
    <t>9418601</t>
  </si>
  <si>
    <t>9418604</t>
  </si>
  <si>
    <t>9418607</t>
  </si>
  <si>
    <t>9418609</t>
  </si>
  <si>
    <t>9518601</t>
  </si>
  <si>
    <t>9518604</t>
  </si>
  <si>
    <t>9518607</t>
  </si>
  <si>
    <t>9518609</t>
  </si>
  <si>
    <t>9618601</t>
  </si>
  <si>
    <t>9618604</t>
  </si>
  <si>
    <t>9618607</t>
  </si>
  <si>
    <t>9618609</t>
  </si>
  <si>
    <t>9619181</t>
  </si>
  <si>
    <t>9319181</t>
  </si>
  <si>
    <t>9219181</t>
  </si>
  <si>
    <t>9019181</t>
  </si>
  <si>
    <t>9019180</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</si>
  <si>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</si>
  <si>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</si>
  <si>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</si>
  <si>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</si>
  <si>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1513240</t>
  </si>
  <si>
    <t>2417500</t>
  </si>
  <si>
    <t>2417501</t>
  </si>
  <si>
    <t>Керівництво і управління у сфері освіти і науки</t>
  </si>
  <si>
    <t>Керівництво і управління у сфері культури і мистецтва, туризму</t>
  </si>
  <si>
    <t>0100</t>
  </si>
  <si>
    <t>9219110</t>
  </si>
  <si>
    <t>програма  забезпечення працездатності систем об'єктивного відеоспостереження у м.Запоріжжі</t>
  </si>
  <si>
    <t>свята</t>
  </si>
  <si>
    <t>програма сприяння молодіжного руху "Молодь для міста"</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</si>
  <si>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</si>
  <si>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7211</t>
  </si>
  <si>
    <t>7212</t>
  </si>
  <si>
    <t>6310</t>
  </si>
  <si>
    <t>6322</t>
  </si>
  <si>
    <t>7470</t>
  </si>
  <si>
    <t>8010</t>
  </si>
  <si>
    <t>8601</t>
  </si>
  <si>
    <t>8602</t>
  </si>
  <si>
    <t>8603</t>
  </si>
  <si>
    <t>8604</t>
  </si>
  <si>
    <t>8605</t>
  </si>
  <si>
    <t>8606</t>
  </si>
  <si>
    <t>8607</t>
  </si>
  <si>
    <t>8608</t>
  </si>
  <si>
    <t>9180</t>
  </si>
  <si>
    <t>9181</t>
  </si>
  <si>
    <t>1100</t>
  </si>
  <si>
    <t>1170</t>
  </si>
  <si>
    <t>1180</t>
  </si>
  <si>
    <t>1190</t>
  </si>
  <si>
    <t>1200</t>
  </si>
  <si>
    <t>1210</t>
  </si>
  <si>
    <t>1230</t>
  </si>
  <si>
    <t>3130</t>
  </si>
  <si>
    <t>3131</t>
  </si>
  <si>
    <t>3132</t>
  </si>
  <si>
    <t>3140</t>
  </si>
  <si>
    <t>3160</t>
  </si>
  <si>
    <t>3240</t>
  </si>
  <si>
    <t>6330</t>
  </si>
  <si>
    <t>6340</t>
  </si>
  <si>
    <t>6350</t>
  </si>
  <si>
    <t>7501</t>
  </si>
  <si>
    <t>7700</t>
  </si>
  <si>
    <t>7701</t>
  </si>
  <si>
    <t>8100</t>
  </si>
  <si>
    <t>8108</t>
  </si>
  <si>
    <t>9100</t>
  </si>
  <si>
    <t>9110</t>
  </si>
  <si>
    <t>5011</t>
  </si>
  <si>
    <t>5012</t>
  </si>
  <si>
    <t>5101</t>
  </si>
  <si>
    <t>6300</t>
  </si>
  <si>
    <t>8000</t>
  </si>
  <si>
    <t>5010</t>
  </si>
  <si>
    <t>2000</t>
  </si>
  <si>
    <t>2010</t>
  </si>
  <si>
    <t>2050</t>
  </si>
  <si>
    <t>2120</t>
  </si>
  <si>
    <t>2140</t>
  </si>
  <si>
    <t>2170</t>
  </si>
  <si>
    <t>2180</t>
  </si>
  <si>
    <t>2200</t>
  </si>
  <si>
    <t>2210</t>
  </si>
  <si>
    <t>2214</t>
  </si>
  <si>
    <t>2220</t>
  </si>
  <si>
    <t>2221</t>
  </si>
  <si>
    <t>2222</t>
  </si>
  <si>
    <t>1000</t>
  </si>
  <si>
    <t>3010</t>
  </si>
  <si>
    <t>3011</t>
  </si>
  <si>
    <t>3012</t>
  </si>
  <si>
    <t>3013</t>
  </si>
  <si>
    <t>3015</t>
  </si>
  <si>
    <t>3016</t>
  </si>
  <si>
    <t>3017</t>
  </si>
  <si>
    <t>3020</t>
  </si>
  <si>
    <t>3021</t>
  </si>
  <si>
    <t>3022</t>
  </si>
  <si>
    <t>3023</t>
  </si>
  <si>
    <t>3025</t>
  </si>
  <si>
    <t>3026</t>
  </si>
  <si>
    <t>3028</t>
  </si>
  <si>
    <t>3030</t>
  </si>
  <si>
    <t>3031</t>
  </si>
  <si>
    <t>3033</t>
  </si>
  <si>
    <t>3034</t>
  </si>
  <si>
    <t>3035</t>
  </si>
  <si>
    <t>3036</t>
  </si>
  <si>
    <t>3037</t>
  </si>
  <si>
    <t>3038</t>
  </si>
  <si>
    <t>3041</t>
  </si>
  <si>
    <t>3042</t>
  </si>
  <si>
    <t>3043</t>
  </si>
  <si>
    <t>3044</t>
  </si>
  <si>
    <t>3045</t>
  </si>
  <si>
    <t>3046</t>
  </si>
  <si>
    <t>3047</t>
  </si>
  <si>
    <t>3048</t>
  </si>
  <si>
    <t>3049</t>
  </si>
  <si>
    <t>3080</t>
  </si>
  <si>
    <t>3104</t>
  </si>
  <si>
    <t>3180</t>
  </si>
  <si>
    <t>3181</t>
  </si>
  <si>
    <t>3200</t>
  </si>
  <si>
    <t>3202</t>
  </si>
  <si>
    <t>3400</t>
  </si>
  <si>
    <t>3401</t>
  </si>
  <si>
    <t>3110</t>
  </si>
  <si>
    <t>3112</t>
  </si>
  <si>
    <t>4000</t>
  </si>
  <si>
    <t>4020</t>
  </si>
  <si>
    <t>4060</t>
  </si>
  <si>
    <t>4090</t>
  </si>
  <si>
    <t>4100</t>
  </si>
  <si>
    <t>4110</t>
  </si>
  <si>
    <t>4200</t>
  </si>
  <si>
    <t>4201</t>
  </si>
  <si>
    <t>4202</t>
  </si>
  <si>
    <t>4203</t>
  </si>
  <si>
    <t>4204</t>
  </si>
  <si>
    <t>4205</t>
  </si>
  <si>
    <t>7500</t>
  </si>
  <si>
    <t>7400</t>
  </si>
  <si>
    <t>7450</t>
  </si>
  <si>
    <t>8600</t>
  </si>
  <si>
    <t>6000</t>
  </si>
  <si>
    <t>6010</t>
  </si>
  <si>
    <t>6020</t>
  </si>
  <si>
    <t>6021</t>
  </si>
  <si>
    <t>6022</t>
  </si>
  <si>
    <t>6030</t>
  </si>
  <si>
    <t>6100</t>
  </si>
  <si>
    <t>6320</t>
  </si>
  <si>
    <t>6324</t>
  </si>
  <si>
    <t>6400</t>
  </si>
  <si>
    <t>3000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</si>
  <si>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</si>
  <si>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</si>
  <si>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</si>
  <si>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</si>
  <si>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</si>
  <si>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</si>
  <si>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</si>
  <si>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</si>
  <si>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</si>
  <si>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</si>
  <si>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</si>
  <si>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</si>
  <si>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</si>
  <si>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</si>
  <si>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</si>
  <si>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</si>
  <si>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</si>
  <si>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</si>
  <si>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</si>
  <si>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</si>
  <si>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</si>
  <si>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</si>
  <si>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9010</t>
  </si>
  <si>
    <t>8120</t>
  </si>
  <si>
    <t>8370</t>
  </si>
  <si>
    <t>8800</t>
  </si>
  <si>
    <t>8609</t>
  </si>
  <si>
    <t>9230</t>
  </si>
  <si>
    <t>7200</t>
  </si>
  <si>
    <t>7210</t>
  </si>
  <si>
    <t>5000</t>
  </si>
  <si>
    <t>3100</t>
  </si>
  <si>
    <t>2013000</t>
  </si>
  <si>
    <t>2011000</t>
  </si>
  <si>
    <t>участь в Асоціації міст</t>
  </si>
  <si>
    <t>Код типової програмної класифікації видатків та кредитування місцевих бюджетів (КТПККВК)</t>
  </si>
  <si>
    <t>1113400</t>
  </si>
  <si>
    <t>1113401</t>
  </si>
  <si>
    <t>аварійна служба</t>
  </si>
  <si>
    <t>фінансова підтримка житлово-експлуатаційних та комунальних підприємств міста</t>
  </si>
  <si>
    <t>Цифрова стратегія</t>
  </si>
  <si>
    <t>Керівництво і управління у сфері державного архітектурно-будівельного контролю</t>
  </si>
  <si>
    <t>Керівництво і управління у сфері транспорту та зв'язку</t>
  </si>
  <si>
    <t>Керівництво і управління у сфері техногенно-екологічної безпеки, цивільного захисту та надзвичайних ситуацій</t>
  </si>
  <si>
    <t>7317500</t>
  </si>
  <si>
    <t>7317502</t>
  </si>
  <si>
    <t>7502</t>
  </si>
  <si>
    <t>Стратегія економічного розвитку</t>
  </si>
  <si>
    <t>29</t>
  </si>
  <si>
    <t>2900000</t>
  </si>
  <si>
    <t>2910000</t>
  </si>
  <si>
    <t>2910100</t>
  </si>
  <si>
    <t>2910180</t>
  </si>
  <si>
    <t>Архівне управління Запорізької міської ради</t>
  </si>
  <si>
    <t>Керівництво і управління у сфері архівної справи і діловодства</t>
  </si>
  <si>
    <t>1115030</t>
  </si>
  <si>
    <t>5030</t>
  </si>
  <si>
    <t>1115031</t>
  </si>
  <si>
    <t>5031</t>
  </si>
  <si>
    <t>1115040</t>
  </si>
  <si>
    <t>5040</t>
  </si>
  <si>
    <t>Підтримка і розвиток спортивної інфраструктури</t>
  </si>
  <si>
    <t>1115041</t>
  </si>
  <si>
    <t>5041</t>
  </si>
  <si>
    <t>Утримання комунальних спортивних споруд</t>
  </si>
  <si>
    <t>1115060</t>
  </si>
  <si>
    <t>5060</t>
  </si>
  <si>
    <t>1115063</t>
  </si>
  <si>
    <t>5063</t>
  </si>
  <si>
    <t>Забезпечення діяльності централізованої бухгалтерії</t>
  </si>
  <si>
    <t>1115062</t>
  </si>
  <si>
    <t>5062</t>
  </si>
  <si>
    <t>Підтримка спорту вищих досягнень та організацій, які здійснюють фізкультурно-спортивну діяльність в регіоні</t>
  </si>
  <si>
    <t>Підготовка робітничих кадрів професійно-технічними закладами та іншими закладами освіти</t>
  </si>
  <si>
    <t xml:space="preserve">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 </t>
  </si>
  <si>
    <t>1118100</t>
  </si>
  <si>
    <t>Реалізація державної політики у молодіжній сфері</t>
  </si>
  <si>
    <t>Розвиток дитячо-юнацького та резервного спорту</t>
  </si>
  <si>
    <t>Інші заходи з розвитку фізичної культури і спорту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</si>
  <si>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</si>
  <si>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</si>
  <si>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t>
  </si>
  <si>
    <t>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</si>
  <si>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Керівництво і управління у сфері соціального захисту дітей</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</si>
  <si>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</si>
  <si>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 та субсидій населенню на придбання твердого та рідкого пічного побутового палива і скрапленого газу</t>
  </si>
  <si>
    <t>0451</t>
  </si>
  <si>
    <t>4016050</t>
  </si>
  <si>
    <t>6050</t>
  </si>
  <si>
    <t>6051</t>
  </si>
  <si>
    <t>4016051</t>
  </si>
  <si>
    <t>Фінансова підтримка об'єктів комунального господарства</t>
  </si>
  <si>
    <t>Забезпечення функціонування теплових мереж</t>
  </si>
  <si>
    <t>1113141</t>
  </si>
  <si>
    <t>3141</t>
  </si>
  <si>
    <t>Здійснення заходів та реалізація проектів на виконання Державної цільової соціальної програми "Молодь України"</t>
  </si>
  <si>
    <t>7319110</t>
  </si>
  <si>
    <t>6519100</t>
  </si>
  <si>
    <t>6519110</t>
  </si>
  <si>
    <t>ЗМІСОІ</t>
  </si>
  <si>
    <t>Заходи з інформатизації, в т.ч.</t>
  </si>
  <si>
    <t>в т.ч. за рахунок субвенції на нвдання державної підтримки особам з особливими освітніми потребами</t>
  </si>
  <si>
    <t>в т.ч. за рахунок субвенції на надання державної підтримки особам з особливими освітніми потребами</t>
  </si>
  <si>
    <t>Керівництво і управління у сфері забезпечення діяльності міської ради та її виконавчого комітету</t>
  </si>
  <si>
    <t>0310180</t>
  </si>
  <si>
    <t>Надання допомоги дітям-сиротам і дітям, позбавленим батьківського піклування, яким виповнюється 18 років</t>
  </si>
  <si>
    <t xml:space="preserve"> за рахунок субвенції з державного бюджету на відшкодування вартості лікарських засобів для лікування окремих захворювань </t>
  </si>
  <si>
    <t>4118602</t>
  </si>
  <si>
    <t>в т.чза рахунок субвенції на модернізацію та оновлення матеріально-технічної бази професійно-технічних навчальних закладів державної форми власності</t>
  </si>
  <si>
    <t>2419100</t>
  </si>
  <si>
    <t>2419180</t>
  </si>
  <si>
    <t>в т.ч.за рахунок субвенції за рахунок залишку коштів освітньої субвенції з державного бюджету, що утворився на початок бюджетного періоду</t>
  </si>
  <si>
    <t>9316600</t>
  </si>
  <si>
    <t>9316650</t>
  </si>
  <si>
    <t>9619110</t>
  </si>
  <si>
    <t>5017400</t>
  </si>
  <si>
    <t>5017470</t>
  </si>
  <si>
    <t>5016130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</si>
  <si>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</si>
  <si>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</si>
  <si>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КП "Примула"</t>
  </si>
  <si>
    <t>відеоспостередження</t>
  </si>
  <si>
    <t>4016150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</si>
  <si>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</si>
  <si>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</si>
  <si>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 /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 / або погоджувалися органами державної влади чи місцевого самоврядування</t>
  </si>
  <si>
    <t>4016140</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</si>
  <si>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</si>
  <si>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</si>
  <si>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 xml:space="preserve">      </t>
  </si>
  <si>
    <t>30.08.2017 №58</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</si>
</sst>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6">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i/>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Cyr"/>
      <family val="0"/>
    </font>
    <font>
      <b/>
      <sz val="10"/>
      <color indexed="10"/>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232">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0" fontId="0" fillId="33" borderId="0" xfId="0" applyFont="1" applyFill="1" applyAlignment="1">
      <alignment/>
    </xf>
    <xf numFmtId="1" fontId="0" fillId="0" borderId="10" xfId="0" applyNumberFormat="1" applyFont="1" applyBorder="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0" fontId="0" fillId="0" borderId="13" xfId="0" applyBorder="1" applyAlignment="1">
      <alignment horizontal="center" vertical="center" wrapText="1"/>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4" fillId="0" borderId="0" xfId="0" applyFont="1" applyAlignment="1">
      <alignment/>
    </xf>
    <xf numFmtId="0" fontId="8" fillId="33" borderId="10" xfId="0" applyFont="1" applyFill="1" applyBorder="1" applyAlignment="1">
      <alignment horizontal="left" wrapText="1"/>
    </xf>
    <xf numFmtId="0" fontId="9" fillId="0" borderId="0" xfId="0" applyFont="1" applyAlignment="1">
      <alignment/>
    </xf>
    <xf numFmtId="0" fontId="0" fillId="0" borderId="10" xfId="0" applyFill="1" applyBorder="1" applyAlignment="1">
      <alignment horizontal="justify" wrapText="1"/>
    </xf>
    <xf numFmtId="0" fontId="9" fillId="33" borderId="0" xfId="0" applyFont="1" applyFill="1" applyAlignment="1">
      <alignment/>
    </xf>
    <xf numFmtId="0" fontId="9" fillId="0" borderId="0" xfId="0" applyFont="1" applyFill="1" applyAlignment="1">
      <alignment/>
    </xf>
    <xf numFmtId="49" fontId="0" fillId="33" borderId="10" xfId="0" applyNumberFormat="1" applyFont="1" applyFill="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91"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33"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0" fontId="11" fillId="0" borderId="10" xfId="0" applyFont="1" applyBorder="1" applyAlignment="1">
      <alignment wrapText="1"/>
    </xf>
    <xf numFmtId="1" fontId="11" fillId="0" borderId="10" xfId="0" applyNumberFormat="1" applyFont="1" applyBorder="1" applyAlignment="1">
      <alignment horizontal="righ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49" fontId="53" fillId="0" borderId="10" xfId="0" applyNumberFormat="1" applyFont="1" applyFill="1" applyBorder="1" applyAlignment="1">
      <alignment horizontal="center"/>
    </xf>
    <xf numFmtId="1" fontId="53" fillId="0" borderId="10" xfId="0" applyNumberFormat="1" applyFont="1" applyBorder="1" applyAlignment="1">
      <alignment horizontal="right"/>
    </xf>
    <xf numFmtId="49" fontId="53" fillId="0" borderId="10" xfId="0" applyNumberFormat="1" applyFont="1" applyBorder="1" applyAlignment="1">
      <alignment horizontal="center"/>
    </xf>
    <xf numFmtId="0" fontId="53" fillId="0" borderId="10" xfId="0" applyFont="1" applyBorder="1" applyAlignment="1">
      <alignment wrapText="1"/>
    </xf>
    <xf numFmtId="0" fontId="53"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Border="1" applyAlignment="1">
      <alignment wrapText="1"/>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horizontal="left" wrapText="1"/>
    </xf>
    <xf numFmtId="0" fontId="54" fillId="0" borderId="10" xfId="0" applyFont="1" applyBorder="1" applyAlignment="1">
      <alignment wrapText="1"/>
    </xf>
    <xf numFmtId="1" fontId="54" fillId="0" borderId="10" xfId="0" applyNumberFormat="1" applyFont="1" applyBorder="1" applyAlignment="1">
      <alignment/>
    </xf>
    <xf numFmtId="0" fontId="54" fillId="0" borderId="10" xfId="0" applyFont="1" applyFill="1" applyBorder="1" applyAlignment="1">
      <alignment horizontal="left" wrapText="1"/>
    </xf>
    <xf numFmtId="0" fontId="54" fillId="0" borderId="10" xfId="0" applyFont="1" applyFill="1" applyBorder="1" applyAlignment="1">
      <alignment horizontal="justify" wrapText="1"/>
    </xf>
    <xf numFmtId="0" fontId="53" fillId="0" borderId="10" xfId="0" applyFont="1" applyBorder="1" applyAlignment="1">
      <alignment horizontal="left" wrapText="1"/>
    </xf>
    <xf numFmtId="1" fontId="54" fillId="0" borderId="10" xfId="0" applyNumberFormat="1" applyFont="1" applyFill="1" applyBorder="1" applyAlignment="1">
      <alignment horizontal="right" wrapText="1"/>
    </xf>
    <xf numFmtId="1" fontId="54" fillId="0" borderId="10" xfId="0" applyNumberFormat="1" applyFont="1" applyFill="1" applyBorder="1" applyAlignment="1">
      <alignment/>
    </xf>
    <xf numFmtId="1" fontId="54" fillId="0" borderId="10" xfId="0" applyNumberFormat="1" applyFont="1" applyFill="1" applyBorder="1" applyAlignment="1">
      <alignment/>
    </xf>
    <xf numFmtId="2" fontId="0" fillId="0" borderId="10" xfId="0" applyNumberFormat="1" applyFont="1" applyFill="1" applyBorder="1" applyAlignment="1">
      <alignment horizontal="right"/>
    </xf>
    <xf numFmtId="2" fontId="54" fillId="0" borderId="10" xfId="0" applyNumberFormat="1" applyFont="1" applyFill="1" applyBorder="1" applyAlignment="1">
      <alignment horizontal="right"/>
    </xf>
    <xf numFmtId="0" fontId="15" fillId="0" borderId="10" xfId="0" applyFont="1" applyBorder="1" applyAlignment="1">
      <alignment horizontal="left" wrapText="1"/>
    </xf>
    <xf numFmtId="0" fontId="15" fillId="0" borderId="10" xfId="0" applyFont="1" applyBorder="1" applyAlignment="1">
      <alignment wrapText="1"/>
    </xf>
    <xf numFmtId="0" fontId="55" fillId="0" borderId="10" xfId="0" applyFont="1" applyBorder="1" applyAlignment="1">
      <alignment wrapText="1"/>
    </xf>
    <xf numFmtId="49" fontId="12" fillId="0" borderId="10" xfId="0" applyNumberFormat="1" applyFont="1" applyFill="1" applyBorder="1" applyAlignment="1">
      <alignment horizontal="center"/>
    </xf>
    <xf numFmtId="49" fontId="12" fillId="0" borderId="14" xfId="0" applyNumberFormat="1" applyFont="1" applyFill="1" applyBorder="1" applyAlignment="1">
      <alignment horizontal="center"/>
    </xf>
    <xf numFmtId="0" fontId="15" fillId="0" borderId="14" xfId="0" applyFont="1" applyFill="1" applyBorder="1" applyAlignment="1">
      <alignment wrapText="1"/>
    </xf>
    <xf numFmtId="1" fontId="12" fillId="0" borderId="14" xfId="0" applyNumberFormat="1" applyFont="1" applyFill="1" applyBorder="1" applyAlignment="1">
      <alignment horizontal="right"/>
    </xf>
    <xf numFmtId="1" fontId="12" fillId="0" borderId="10" xfId="0" applyNumberFormat="1" applyFont="1" applyFill="1" applyBorder="1" applyAlignment="1">
      <alignment horizontal="right"/>
    </xf>
    <xf numFmtId="0" fontId="12" fillId="0" borderId="0" xfId="0" applyFont="1" applyFill="1" applyAlignment="1">
      <alignment/>
    </xf>
    <xf numFmtId="1" fontId="0" fillId="0" borderId="14" xfId="0" applyNumberFormat="1" applyFont="1" applyFill="1" applyBorder="1" applyAlignment="1">
      <alignment horizontal="right"/>
    </xf>
    <xf numFmtId="1" fontId="0" fillId="0" borderId="13" xfId="0" applyNumberFormat="1" applyFont="1" applyFill="1" applyBorder="1" applyAlignment="1">
      <alignment horizontal="right"/>
    </xf>
    <xf numFmtId="49" fontId="12" fillId="0" borderId="10" xfId="0" applyNumberFormat="1" applyFont="1" applyBorder="1" applyAlignment="1">
      <alignment horizontal="center"/>
    </xf>
    <xf numFmtId="1" fontId="12" fillId="0" borderId="10" xfId="0" applyNumberFormat="1" applyFont="1" applyBorder="1" applyAlignment="1">
      <alignment horizontal="right"/>
    </xf>
    <xf numFmtId="0" fontId="12" fillId="0" borderId="0" xfId="0" applyFont="1" applyAlignment="1">
      <alignment/>
    </xf>
    <xf numFmtId="0" fontId="12" fillId="33" borderId="0" xfId="0" applyFont="1" applyFill="1" applyAlignment="1">
      <alignment/>
    </xf>
    <xf numFmtId="0" fontId="12" fillId="0" borderId="10" xfId="0" applyFont="1" applyBorder="1" applyAlignment="1">
      <alignment horizontal="left" wrapText="1"/>
    </xf>
    <xf numFmtId="1" fontId="0" fillId="0" borderId="10" xfId="0" applyNumberFormat="1" applyBorder="1" applyAlignment="1">
      <alignment horizontal="left" wrapText="1"/>
    </xf>
    <xf numFmtId="1" fontId="12" fillId="0" borderId="10" xfId="0" applyNumberFormat="1" applyFont="1" applyBorder="1" applyAlignment="1">
      <alignment horizontal="center"/>
    </xf>
    <xf numFmtId="0" fontId="0" fillId="0" borderId="10" xfId="0" applyFont="1" applyBorder="1" applyAlignment="1">
      <alignment horizontal="left" wrapText="1"/>
    </xf>
    <xf numFmtId="0" fontId="53"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54"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49" fontId="55" fillId="0" borderId="10" xfId="0" applyNumberFormat="1" applyFont="1" applyBorder="1" applyAlignment="1">
      <alignment horizontal="center"/>
    </xf>
    <xf numFmtId="0" fontId="0" fillId="0" borderId="0" xfId="0" applyAlignment="1" quotePrefix="1">
      <alignment/>
    </xf>
    <xf numFmtId="49" fontId="0" fillId="0" borderId="0" xfId="0" applyNumberFormat="1" applyAlignment="1">
      <alignment/>
    </xf>
    <xf numFmtId="2" fontId="0" fillId="0" borderId="0" xfId="0" applyNumberFormat="1" applyFont="1" applyAlignment="1">
      <alignment/>
    </xf>
    <xf numFmtId="0" fontId="0" fillId="0" borderId="0" xfId="0" applyAlignment="1" quotePrefix="1">
      <alignment horizontal="left"/>
    </xf>
    <xf numFmtId="1" fontId="0" fillId="0" borderId="0" xfId="0" applyNumberFormat="1" applyFont="1" applyAlignment="1">
      <alignment/>
    </xf>
    <xf numFmtId="1" fontId="0" fillId="33" borderId="0" xfId="0" applyNumberFormat="1" applyFont="1" applyFill="1" applyAlignment="1">
      <alignment/>
    </xf>
    <xf numFmtId="49" fontId="12" fillId="3" borderId="10" xfId="0" applyNumberFormat="1" applyFont="1" applyFill="1" applyBorder="1" applyAlignment="1">
      <alignment horizontal="center"/>
    </xf>
    <xf numFmtId="0" fontId="12" fillId="3" borderId="10" xfId="0" applyFont="1" applyFill="1" applyBorder="1" applyAlignment="1">
      <alignment wrapText="1"/>
    </xf>
    <xf numFmtId="1" fontId="12" fillId="3" borderId="10" xfId="0" applyNumberFormat="1" applyFont="1" applyFill="1" applyBorder="1" applyAlignment="1">
      <alignment horizontal="right"/>
    </xf>
    <xf numFmtId="0" fontId="0" fillId="3" borderId="0" xfId="0" applyFont="1" applyFill="1" applyAlignment="1">
      <alignment/>
    </xf>
    <xf numFmtId="49" fontId="0" fillId="3" borderId="10" xfId="0" applyNumberFormat="1" applyFill="1" applyBorder="1" applyAlignment="1">
      <alignment horizontal="center"/>
    </xf>
    <xf numFmtId="49" fontId="0" fillId="3" borderId="10" xfId="0" applyNumberFormat="1" applyFont="1" applyFill="1" applyBorder="1" applyAlignment="1">
      <alignment horizontal="center"/>
    </xf>
    <xf numFmtId="0" fontId="0" fillId="3" borderId="10" xfId="0" applyFont="1" applyFill="1" applyBorder="1" applyAlignment="1">
      <alignment horizontal="left" wrapText="1"/>
    </xf>
    <xf numFmtId="1" fontId="0" fillId="3" borderId="10" xfId="0" applyNumberFormat="1" applyFont="1" applyFill="1" applyBorder="1" applyAlignment="1">
      <alignment horizontal="right"/>
    </xf>
    <xf numFmtId="0" fontId="0" fillId="3" borderId="0" xfId="0" applyFont="1" applyFill="1" applyAlignment="1">
      <alignment/>
    </xf>
    <xf numFmtId="0" fontId="0" fillId="3" borderId="10" xfId="0" applyFont="1" applyFill="1" applyBorder="1" applyAlignment="1">
      <alignment wrapText="1"/>
    </xf>
    <xf numFmtId="1" fontId="0" fillId="3" borderId="10" xfId="0" applyNumberFormat="1" applyFont="1" applyFill="1" applyBorder="1" applyAlignment="1">
      <alignment horizontal="right"/>
    </xf>
    <xf numFmtId="1" fontId="1" fillId="3" borderId="10" xfId="0" applyNumberFormat="1" applyFont="1" applyFill="1" applyBorder="1" applyAlignment="1">
      <alignment horizontal="right"/>
    </xf>
    <xf numFmtId="0" fontId="0" fillId="3" borderId="10" xfId="0" applyFill="1" applyBorder="1" applyAlignment="1">
      <alignment wrapText="1"/>
    </xf>
    <xf numFmtId="0" fontId="0" fillId="3" borderId="10" xfId="0" applyFill="1" applyBorder="1" applyAlignment="1">
      <alignment horizontal="left" wrapText="1"/>
    </xf>
    <xf numFmtId="1" fontId="9" fillId="3" borderId="10" xfId="0" applyNumberFormat="1" applyFont="1" applyFill="1" applyBorder="1" applyAlignment="1">
      <alignment horizontal="right"/>
    </xf>
    <xf numFmtId="0" fontId="9" fillId="3" borderId="0" xfId="0" applyFont="1" applyFill="1" applyAlignment="1">
      <alignment/>
    </xf>
    <xf numFmtId="49" fontId="0" fillId="3" borderId="10" xfId="0" applyNumberFormat="1" applyFont="1" applyFill="1" applyBorder="1" applyAlignment="1">
      <alignment horizontal="center"/>
    </xf>
    <xf numFmtId="1" fontId="0" fillId="3" borderId="10" xfId="0" applyNumberFormat="1" applyFont="1" applyFill="1" applyBorder="1" applyAlignment="1">
      <alignment horizontal="right"/>
    </xf>
    <xf numFmtId="49" fontId="0" fillId="3" borderId="10" xfId="0" applyNumberFormat="1" applyFont="1" applyFill="1" applyBorder="1" applyAlignment="1">
      <alignment horizontal="center"/>
    </xf>
    <xf numFmtId="1" fontId="0" fillId="3" borderId="10" xfId="0" applyNumberFormat="1" applyFont="1" applyFill="1" applyBorder="1" applyAlignment="1">
      <alignment/>
    </xf>
    <xf numFmtId="1" fontId="0" fillId="3" borderId="10" xfId="0" applyNumberFormat="1" applyFont="1" applyFill="1" applyBorder="1" applyAlignment="1">
      <alignment/>
    </xf>
    <xf numFmtId="49" fontId="0" fillId="13" borderId="10" xfId="0" applyNumberFormat="1" applyFill="1" applyBorder="1" applyAlignment="1">
      <alignment horizontal="center"/>
    </xf>
    <xf numFmtId="0" fontId="0" fillId="13" borderId="10" xfId="0" applyFill="1" applyBorder="1" applyAlignment="1">
      <alignment wrapText="1"/>
    </xf>
    <xf numFmtId="1" fontId="0" fillId="13" borderId="10" xfId="0" applyNumberFormat="1" applyFont="1" applyFill="1" applyBorder="1" applyAlignment="1">
      <alignment horizontal="right"/>
    </xf>
    <xf numFmtId="0" fontId="0" fillId="13" borderId="0" xfId="0" applyFont="1" applyFill="1" applyAlignment="1">
      <alignment/>
    </xf>
    <xf numFmtId="1" fontId="0" fillId="0" borderId="0" xfId="0" applyNumberFormat="1" applyFont="1" applyFill="1" applyAlignment="1">
      <alignment/>
    </xf>
    <xf numFmtId="1" fontId="0" fillId="33" borderId="0" xfId="0" applyNumberFormat="1" applyFont="1" applyFill="1" applyAlignment="1">
      <alignment/>
    </xf>
    <xf numFmtId="1" fontId="0" fillId="0" borderId="0" xfId="0" applyNumberFormat="1" applyFont="1" applyFill="1" applyAlignment="1">
      <alignment/>
    </xf>
    <xf numFmtId="1" fontId="9" fillId="0" borderId="0" xfId="0" applyNumberFormat="1" applyFont="1" applyAlignment="1">
      <alignment/>
    </xf>
    <xf numFmtId="2" fontId="0" fillId="0" borderId="10" xfId="0" applyNumberFormat="1" applyFont="1" applyFill="1" applyBorder="1" applyAlignment="1">
      <alignment horizontal="right"/>
    </xf>
    <xf numFmtId="2" fontId="12" fillId="0" borderId="14" xfId="0" applyNumberFormat="1" applyFont="1" applyFill="1" applyBorder="1" applyAlignment="1">
      <alignment horizontal="right"/>
    </xf>
    <xf numFmtId="2" fontId="12" fillId="0" borderId="10" xfId="0" applyNumberFormat="1" applyFont="1" applyFill="1" applyBorder="1" applyAlignment="1">
      <alignment horizontal="right"/>
    </xf>
    <xf numFmtId="2" fontId="12" fillId="0" borderId="0" xfId="0" applyNumberFormat="1" applyFont="1" applyFill="1" applyAlignment="1">
      <alignment/>
    </xf>
    <xf numFmtId="2" fontId="0" fillId="0" borderId="14" xfId="0" applyNumberFormat="1" applyFont="1" applyFill="1" applyBorder="1" applyAlignment="1">
      <alignment horizontal="right"/>
    </xf>
    <xf numFmtId="2" fontId="0"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0" fontId="12" fillId="0" borderId="10" xfId="0" applyFont="1" applyBorder="1" applyAlignment="1">
      <alignment wrapText="1"/>
    </xf>
    <xf numFmtId="2" fontId="0" fillId="33" borderId="10" xfId="0" applyNumberFormat="1" applyFont="1" applyFill="1" applyBorder="1" applyAlignment="1">
      <alignment/>
    </xf>
    <xf numFmtId="0" fontId="4" fillId="0" borderId="16" xfId="0" applyFont="1" applyBorder="1" applyAlignment="1">
      <alignment horizontal="left" wrapText="1"/>
    </xf>
    <xf numFmtId="0" fontId="4" fillId="0" borderId="17" xfId="0" applyFont="1" applyBorder="1" applyAlignment="1">
      <alignment horizontal="left" wrapText="1"/>
    </xf>
    <xf numFmtId="0" fontId="14" fillId="0" borderId="16"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1" xfId="0" applyFont="1" applyBorder="1" applyAlignment="1">
      <alignment horizontal="left"/>
    </xf>
    <xf numFmtId="0" fontId="0" fillId="0" borderId="22" xfId="0" applyFill="1" applyBorder="1" applyAlignment="1">
      <alignment horizontal="center"/>
    </xf>
    <xf numFmtId="0" fontId="0" fillId="0" borderId="23" xfId="0" applyFill="1" applyBorder="1" applyAlignment="1">
      <alignment horizont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3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83"/>
  <sheetViews>
    <sheetView showZeros="0" tabSelected="1" view="pageBreakPreview" zoomScale="75" zoomScaleNormal="75" zoomScaleSheetLayoutView="75" zoomScalePageLayoutView="0" workbookViewId="0" topLeftCell="A1">
      <selection activeCell="B4" sqref="B4:Q4"/>
    </sheetView>
  </sheetViews>
  <sheetFormatPr defaultColWidth="9.00390625" defaultRowHeight="12.75"/>
  <cols>
    <col min="1" max="1" width="10.375" style="33" customWidth="1"/>
    <col min="2" max="2" width="14.75390625" style="45" hidden="1" customWidth="1"/>
    <col min="3" max="4" width="10.625" style="45" customWidth="1"/>
    <col min="5" max="5" width="34.375" style="33" customWidth="1"/>
    <col min="6" max="7" width="15.25390625" style="33" customWidth="1"/>
    <col min="8" max="8" width="15.00390625" style="33" customWidth="1"/>
    <col min="9" max="10" width="14.375" style="33" customWidth="1"/>
    <col min="11" max="11" width="14.125" style="33" customWidth="1"/>
    <col min="12" max="12" width="14.375" style="33" bestFit="1" customWidth="1"/>
    <col min="13" max="13" width="14.125" style="33" customWidth="1"/>
    <col min="14" max="14" width="12.875" style="33" customWidth="1"/>
    <col min="15" max="15" width="14.25390625" style="33" customWidth="1"/>
    <col min="16" max="16" width="14.125" style="33" customWidth="1"/>
    <col min="17" max="17" width="15.625" style="33" customWidth="1"/>
    <col min="18" max="18" width="13.875" style="33" bestFit="1" customWidth="1"/>
    <col min="19" max="19" width="11.375" style="33" bestFit="1" customWidth="1"/>
    <col min="20" max="20" width="11.00390625" style="33" bestFit="1" customWidth="1"/>
    <col min="21" max="16384" width="9.125" style="33" customWidth="1"/>
  </cols>
  <sheetData>
    <row r="1" spans="2:17" ht="78" customHeight="1">
      <c r="B1" s="34"/>
      <c r="C1" s="34"/>
      <c r="D1" s="34"/>
      <c r="E1" s="35"/>
      <c r="F1" s="35"/>
      <c r="G1" s="35"/>
      <c r="H1" s="35"/>
      <c r="I1" s="35"/>
      <c r="J1" s="35"/>
      <c r="K1" s="204"/>
      <c r="L1" s="205"/>
      <c r="M1" s="109" t="s">
        <v>876</v>
      </c>
      <c r="P1" s="103"/>
      <c r="Q1" s="103"/>
    </row>
    <row r="2" spans="2:17" ht="31.5">
      <c r="B2" s="34"/>
      <c r="C2" s="34"/>
      <c r="D2" s="34"/>
      <c r="E2" s="35"/>
      <c r="F2" s="35"/>
      <c r="G2" s="35"/>
      <c r="H2" s="35"/>
      <c r="I2" s="35"/>
      <c r="J2" s="35"/>
      <c r="K2" s="204"/>
      <c r="L2" s="205"/>
      <c r="M2" s="109" t="s">
        <v>89</v>
      </c>
      <c r="P2" s="103"/>
      <c r="Q2" s="103"/>
    </row>
    <row r="3" spans="2:17" ht="30" customHeight="1">
      <c r="B3" s="34"/>
      <c r="C3" s="34"/>
      <c r="D3" s="34"/>
      <c r="E3" s="35"/>
      <c r="F3" s="35"/>
      <c r="G3" s="35"/>
      <c r="H3" s="35"/>
      <c r="I3" s="35"/>
      <c r="J3" s="35"/>
      <c r="K3" s="204"/>
      <c r="L3" s="205"/>
      <c r="M3" s="231" t="s">
        <v>1235</v>
      </c>
      <c r="P3" s="101"/>
      <c r="Q3" s="101"/>
    </row>
    <row r="4" spans="2:17" ht="32.25" customHeight="1">
      <c r="B4" s="206" t="s">
        <v>526</v>
      </c>
      <c r="C4" s="207"/>
      <c r="D4" s="207"/>
      <c r="E4" s="207"/>
      <c r="F4" s="207"/>
      <c r="G4" s="207"/>
      <c r="H4" s="207"/>
      <c r="I4" s="207"/>
      <c r="J4" s="207"/>
      <c r="K4" s="207"/>
      <c r="L4" s="207"/>
      <c r="M4" s="207"/>
      <c r="N4" s="207"/>
      <c r="O4" s="207"/>
      <c r="P4" s="207"/>
      <c r="Q4" s="208"/>
    </row>
    <row r="5" spans="2:17" ht="20.25" customHeight="1">
      <c r="B5" s="206" t="s">
        <v>875</v>
      </c>
      <c r="C5" s="207"/>
      <c r="D5" s="207"/>
      <c r="E5" s="207"/>
      <c r="F5" s="207"/>
      <c r="G5" s="207"/>
      <c r="H5" s="207"/>
      <c r="I5" s="207"/>
      <c r="J5" s="207"/>
      <c r="K5" s="207"/>
      <c r="L5" s="207"/>
      <c r="M5" s="207"/>
      <c r="N5" s="207"/>
      <c r="O5" s="207"/>
      <c r="P5" s="207"/>
      <c r="Q5" s="208"/>
    </row>
    <row r="6" spans="2:17" ht="14.25" customHeight="1">
      <c r="B6" s="36"/>
      <c r="C6" s="36"/>
      <c r="D6" s="36"/>
      <c r="E6" s="37"/>
      <c r="F6" s="23"/>
      <c r="G6" s="23"/>
      <c r="H6" s="23"/>
      <c r="I6" s="23"/>
      <c r="J6" s="23"/>
      <c r="K6" s="23"/>
      <c r="L6" s="23"/>
      <c r="M6" s="23"/>
      <c r="N6" s="24"/>
      <c r="O6" s="24"/>
      <c r="P6" s="220" t="s">
        <v>792</v>
      </c>
      <c r="Q6" s="221"/>
    </row>
    <row r="7" spans="1:17" ht="12" customHeight="1">
      <c r="A7" s="225" t="s">
        <v>525</v>
      </c>
      <c r="B7" s="214" t="s">
        <v>524</v>
      </c>
      <c r="C7" s="214" t="s">
        <v>1140</v>
      </c>
      <c r="D7" s="214" t="s">
        <v>573</v>
      </c>
      <c r="E7" s="228" t="s">
        <v>977</v>
      </c>
      <c r="F7" s="222" t="s">
        <v>523</v>
      </c>
      <c r="G7" s="223"/>
      <c r="H7" s="223"/>
      <c r="I7" s="223"/>
      <c r="J7" s="224"/>
      <c r="K7" s="222" t="s">
        <v>522</v>
      </c>
      <c r="L7" s="223"/>
      <c r="M7" s="223"/>
      <c r="N7" s="223"/>
      <c r="O7" s="223"/>
      <c r="P7" s="224"/>
      <c r="Q7" s="211" t="s">
        <v>63</v>
      </c>
    </row>
    <row r="8" spans="1:17" ht="12.75" customHeight="1">
      <c r="A8" s="226"/>
      <c r="B8" s="215"/>
      <c r="C8" s="215"/>
      <c r="D8" s="215"/>
      <c r="E8" s="229"/>
      <c r="F8" s="211" t="s">
        <v>32</v>
      </c>
      <c r="G8" s="217" t="s">
        <v>518</v>
      </c>
      <c r="H8" s="209" t="s">
        <v>97</v>
      </c>
      <c r="I8" s="210"/>
      <c r="J8" s="217" t="s">
        <v>519</v>
      </c>
      <c r="K8" s="211" t="s">
        <v>32</v>
      </c>
      <c r="L8" s="217" t="s">
        <v>518</v>
      </c>
      <c r="M8" s="209" t="s">
        <v>97</v>
      </c>
      <c r="N8" s="210"/>
      <c r="O8" s="217" t="s">
        <v>519</v>
      </c>
      <c r="P8" s="102" t="s">
        <v>97</v>
      </c>
      <c r="Q8" s="212"/>
    </row>
    <row r="9" spans="1:17" ht="67.5" customHeight="1">
      <c r="A9" s="227"/>
      <c r="B9" s="216"/>
      <c r="C9" s="216"/>
      <c r="D9" s="216"/>
      <c r="E9" s="230"/>
      <c r="F9" s="213"/>
      <c r="G9" s="218"/>
      <c r="H9" s="60" t="s">
        <v>520</v>
      </c>
      <c r="I9" s="60" t="s">
        <v>521</v>
      </c>
      <c r="J9" s="218"/>
      <c r="K9" s="213"/>
      <c r="L9" s="218"/>
      <c r="M9" s="60" t="s">
        <v>520</v>
      </c>
      <c r="N9" s="60" t="s">
        <v>521</v>
      </c>
      <c r="O9" s="218"/>
      <c r="P9" s="60" t="s">
        <v>122</v>
      </c>
      <c r="Q9" s="213"/>
    </row>
    <row r="10" spans="1:17" ht="11.25" customHeight="1">
      <c r="A10" s="28">
        <v>1</v>
      </c>
      <c r="B10" s="38">
        <v>2</v>
      </c>
      <c r="C10" s="38">
        <v>2</v>
      </c>
      <c r="D10" s="38">
        <v>3</v>
      </c>
      <c r="E10" s="38">
        <v>4</v>
      </c>
      <c r="F10" s="38">
        <v>5</v>
      </c>
      <c r="G10" s="38">
        <v>6</v>
      </c>
      <c r="H10" s="38">
        <v>7</v>
      </c>
      <c r="I10" s="38">
        <v>8</v>
      </c>
      <c r="J10" s="38">
        <v>9</v>
      </c>
      <c r="K10" s="38">
        <v>10</v>
      </c>
      <c r="L10" s="38">
        <v>11</v>
      </c>
      <c r="M10" s="38">
        <v>12</v>
      </c>
      <c r="N10" s="38">
        <v>13</v>
      </c>
      <c r="O10" s="38">
        <v>14</v>
      </c>
      <c r="P10" s="38">
        <v>15</v>
      </c>
      <c r="Q10" s="38">
        <v>16</v>
      </c>
    </row>
    <row r="11" spans="1:18" s="41" customFormat="1" ht="25.5">
      <c r="A11" s="62" t="s">
        <v>170</v>
      </c>
      <c r="B11" s="62" t="s">
        <v>314</v>
      </c>
      <c r="C11" s="62" t="s">
        <v>314</v>
      </c>
      <c r="D11" s="62"/>
      <c r="E11" s="61" t="s">
        <v>142</v>
      </c>
      <c r="F11" s="39">
        <f aca="true" t="shared" si="0" ref="F11:P11">F12</f>
        <v>51538660</v>
      </c>
      <c r="G11" s="39">
        <f t="shared" si="0"/>
        <v>51538660</v>
      </c>
      <c r="H11" s="39">
        <f t="shared" si="0"/>
        <v>17676586</v>
      </c>
      <c r="I11" s="39">
        <f t="shared" si="0"/>
        <v>1501022</v>
      </c>
      <c r="J11" s="39">
        <f t="shared" si="0"/>
        <v>0</v>
      </c>
      <c r="K11" s="39">
        <f t="shared" si="0"/>
        <v>42254498</v>
      </c>
      <c r="L11" s="39">
        <f t="shared" si="0"/>
        <v>222048</v>
      </c>
      <c r="M11" s="39">
        <f t="shared" si="0"/>
        <v>0</v>
      </c>
      <c r="N11" s="39">
        <f t="shared" si="0"/>
        <v>0</v>
      </c>
      <c r="O11" s="39">
        <f t="shared" si="0"/>
        <v>42032450</v>
      </c>
      <c r="P11" s="39">
        <f t="shared" si="0"/>
        <v>41792450</v>
      </c>
      <c r="Q11" s="39">
        <f>F11+K11</f>
        <v>93793158</v>
      </c>
      <c r="R11" s="165"/>
    </row>
    <row r="12" spans="1:17" s="43" customFormat="1" ht="25.5">
      <c r="A12" s="59" t="s">
        <v>171</v>
      </c>
      <c r="B12" s="59"/>
      <c r="C12" s="59"/>
      <c r="D12" s="59"/>
      <c r="E12" s="49" t="s">
        <v>142</v>
      </c>
      <c r="F12" s="26">
        <f>G12+J12</f>
        <v>51538660</v>
      </c>
      <c r="G12" s="26">
        <f>G13+G15+G19+G22+G43+G24</f>
        <v>51538660</v>
      </c>
      <c r="H12" s="26">
        <f>H13+H15+H19+H22+H43+H24</f>
        <v>17676586</v>
      </c>
      <c r="I12" s="26">
        <f>I13+I15+I19+I22+I43+I24</f>
        <v>1501022</v>
      </c>
      <c r="J12" s="26">
        <f>J13+J15+J19+J22+J43+J24</f>
        <v>0</v>
      </c>
      <c r="K12" s="26">
        <f>L12+O12</f>
        <v>42254498</v>
      </c>
      <c r="L12" s="26">
        <f>L13+L15+L19+L22+L43+L24</f>
        <v>222048</v>
      </c>
      <c r="M12" s="26">
        <f>M13+M15+M19+M22+M43+M24</f>
        <v>0</v>
      </c>
      <c r="N12" s="26">
        <f>N13+N15+N19+N22+N43+N24</f>
        <v>0</v>
      </c>
      <c r="O12" s="26">
        <f>O13+O15+O19+O22+O43+O24</f>
        <v>42032450</v>
      </c>
      <c r="P12" s="26">
        <f>P13+P15+P19+P22+P43+P24</f>
        <v>41792450</v>
      </c>
      <c r="Q12" s="26">
        <f>F12+K12</f>
        <v>93793158</v>
      </c>
    </row>
    <row r="13" spans="1:17" s="43" customFormat="1" ht="12.75">
      <c r="A13" s="111" t="s">
        <v>672</v>
      </c>
      <c r="B13" s="111" t="s">
        <v>671</v>
      </c>
      <c r="C13" s="111" t="s">
        <v>972</v>
      </c>
      <c r="D13" s="111"/>
      <c r="E13" s="127" t="s">
        <v>673</v>
      </c>
      <c r="F13" s="26">
        <f aca="true" t="shared" si="1" ref="F13:F25">G13+J13</f>
        <v>24423114</v>
      </c>
      <c r="G13" s="123">
        <f>G14</f>
        <v>24423114</v>
      </c>
      <c r="H13" s="123">
        <f aca="true" t="shared" si="2" ref="H13:P13">H14</f>
        <v>14131845</v>
      </c>
      <c r="I13" s="123">
        <f t="shared" si="2"/>
        <v>1388089</v>
      </c>
      <c r="J13" s="123">
        <f t="shared" si="2"/>
        <v>0</v>
      </c>
      <c r="K13" s="26">
        <f aca="true" t="shared" si="3" ref="K13:K27">L13+O13</f>
        <v>16615386</v>
      </c>
      <c r="L13" s="123">
        <f t="shared" si="2"/>
        <v>74217</v>
      </c>
      <c r="M13" s="123">
        <f t="shared" si="2"/>
        <v>0</v>
      </c>
      <c r="N13" s="123">
        <f t="shared" si="2"/>
        <v>0</v>
      </c>
      <c r="O13" s="123">
        <f t="shared" si="2"/>
        <v>16541169</v>
      </c>
      <c r="P13" s="123">
        <f t="shared" si="2"/>
        <v>16541169</v>
      </c>
      <c r="Q13" s="26">
        <f aca="true" t="shared" si="4" ref="Q13:Q27">F13+K13</f>
        <v>41038500</v>
      </c>
    </row>
    <row r="14" spans="1:17" ht="38.25">
      <c r="A14" s="59" t="s">
        <v>1209</v>
      </c>
      <c r="B14" s="28" t="s">
        <v>33</v>
      </c>
      <c r="C14" s="50" t="s">
        <v>613</v>
      </c>
      <c r="D14" s="50" t="s">
        <v>574</v>
      </c>
      <c r="E14" s="51" t="s">
        <v>1208</v>
      </c>
      <c r="F14" s="26">
        <f t="shared" si="1"/>
        <v>24423114</v>
      </c>
      <c r="G14" s="27">
        <f>22441128-1358250+124445-762965+402257+16900+436820+215512+2912577-5310</f>
        <v>24423114</v>
      </c>
      <c r="H14" s="27">
        <f>12706920-943005+2372290-4360</f>
        <v>14131845</v>
      </c>
      <c r="I14" s="27">
        <f>1460707-72618</f>
        <v>1388089</v>
      </c>
      <c r="J14" s="27"/>
      <c r="K14" s="26">
        <f t="shared" si="3"/>
        <v>16615386</v>
      </c>
      <c r="L14" s="27">
        <f>98470-24253</f>
        <v>74217</v>
      </c>
      <c r="M14" s="27"/>
      <c r="N14" s="27"/>
      <c r="O14" s="27">
        <f>P14</f>
        <v>16541169</v>
      </c>
      <c r="P14" s="27">
        <f>10500000-124445+5719753+661373-215512</f>
        <v>16541169</v>
      </c>
      <c r="Q14" s="26">
        <f t="shared" si="4"/>
        <v>41038500</v>
      </c>
    </row>
    <row r="15" spans="1:17" ht="12.75">
      <c r="A15" s="111" t="s">
        <v>616</v>
      </c>
      <c r="B15" s="112" t="s">
        <v>614</v>
      </c>
      <c r="C15" s="112" t="s">
        <v>1133</v>
      </c>
      <c r="D15" s="112"/>
      <c r="E15" s="113" t="s">
        <v>615</v>
      </c>
      <c r="F15" s="26">
        <f t="shared" si="1"/>
        <v>9745784</v>
      </c>
      <c r="G15" s="114">
        <f aca="true" t="shared" si="5" ref="G15:P15">G16</f>
        <v>9745784</v>
      </c>
      <c r="H15" s="114">
        <f t="shared" si="5"/>
        <v>0</v>
      </c>
      <c r="I15" s="114">
        <f t="shared" si="5"/>
        <v>0</v>
      </c>
      <c r="J15" s="114">
        <f t="shared" si="5"/>
        <v>0</v>
      </c>
      <c r="K15" s="26">
        <f t="shared" si="3"/>
        <v>6528076</v>
      </c>
      <c r="L15" s="114">
        <f t="shared" si="5"/>
        <v>0</v>
      </c>
      <c r="M15" s="114">
        <f t="shared" si="5"/>
        <v>0</v>
      </c>
      <c r="N15" s="114">
        <f t="shared" si="5"/>
        <v>0</v>
      </c>
      <c r="O15" s="114">
        <f t="shared" si="5"/>
        <v>6528076</v>
      </c>
      <c r="P15" s="114">
        <f t="shared" si="5"/>
        <v>6528076</v>
      </c>
      <c r="Q15" s="26">
        <f t="shared" si="4"/>
        <v>16273860</v>
      </c>
    </row>
    <row r="16" spans="1:17" ht="26.25" customHeight="1">
      <c r="A16" s="111" t="s">
        <v>699</v>
      </c>
      <c r="B16" s="112"/>
      <c r="C16" s="112" t="s">
        <v>1134</v>
      </c>
      <c r="D16" s="112"/>
      <c r="E16" s="113" t="s">
        <v>700</v>
      </c>
      <c r="F16" s="26">
        <f t="shared" si="1"/>
        <v>9745784</v>
      </c>
      <c r="G16" s="114">
        <f aca="true" t="shared" si="6" ref="G16:P16">G17+G18</f>
        <v>9745784</v>
      </c>
      <c r="H16" s="114">
        <f t="shared" si="6"/>
        <v>0</v>
      </c>
      <c r="I16" s="114">
        <f t="shared" si="6"/>
        <v>0</v>
      </c>
      <c r="J16" s="114">
        <f t="shared" si="6"/>
        <v>0</v>
      </c>
      <c r="K16" s="26">
        <f t="shared" si="3"/>
        <v>6528076</v>
      </c>
      <c r="L16" s="114">
        <f t="shared" si="6"/>
        <v>0</v>
      </c>
      <c r="M16" s="114">
        <f t="shared" si="6"/>
        <v>0</v>
      </c>
      <c r="N16" s="114">
        <f t="shared" si="6"/>
        <v>0</v>
      </c>
      <c r="O16" s="114">
        <f t="shared" si="6"/>
        <v>6528076</v>
      </c>
      <c r="P16" s="114">
        <f t="shared" si="6"/>
        <v>6528076</v>
      </c>
      <c r="Q16" s="26">
        <f t="shared" si="4"/>
        <v>16273860</v>
      </c>
    </row>
    <row r="17" spans="1:17" ht="25.5">
      <c r="A17" s="50" t="s">
        <v>864</v>
      </c>
      <c r="B17" s="50" t="s">
        <v>104</v>
      </c>
      <c r="C17" s="50" t="s">
        <v>978</v>
      </c>
      <c r="D17" s="50" t="s">
        <v>575</v>
      </c>
      <c r="E17" s="51" t="s">
        <v>273</v>
      </c>
      <c r="F17" s="26">
        <f t="shared" si="1"/>
        <v>8845784</v>
      </c>
      <c r="G17" s="27">
        <f>7826760+1682745-663721</f>
        <v>8845784</v>
      </c>
      <c r="H17" s="27"/>
      <c r="I17" s="27"/>
      <c r="J17" s="27"/>
      <c r="K17" s="26">
        <f t="shared" si="3"/>
        <v>6528076</v>
      </c>
      <c r="L17" s="27"/>
      <c r="M17" s="27"/>
      <c r="N17" s="27"/>
      <c r="O17" s="27">
        <f>P17</f>
        <v>6528076</v>
      </c>
      <c r="P17" s="27">
        <f>3437510+2376945+49900+663721</f>
        <v>6528076</v>
      </c>
      <c r="Q17" s="26">
        <f>F17+K17</f>
        <v>15373860</v>
      </c>
    </row>
    <row r="18" spans="1:17" ht="27" customHeight="1">
      <c r="A18" s="59" t="s">
        <v>377</v>
      </c>
      <c r="B18" s="28">
        <v>120201</v>
      </c>
      <c r="C18" s="50" t="s">
        <v>979</v>
      </c>
      <c r="D18" s="50" t="s">
        <v>575</v>
      </c>
      <c r="E18" s="48" t="s">
        <v>172</v>
      </c>
      <c r="F18" s="26">
        <f t="shared" si="1"/>
        <v>900000</v>
      </c>
      <c r="G18" s="27">
        <v>900000</v>
      </c>
      <c r="H18" s="27"/>
      <c r="I18" s="27"/>
      <c r="J18" s="27"/>
      <c r="K18" s="26">
        <f t="shared" si="3"/>
        <v>0</v>
      </c>
      <c r="L18" s="27"/>
      <c r="M18" s="27"/>
      <c r="N18" s="27"/>
      <c r="O18" s="27"/>
      <c r="P18" s="27"/>
      <c r="Q18" s="26">
        <f t="shared" si="4"/>
        <v>900000</v>
      </c>
    </row>
    <row r="19" spans="1:17" ht="12.75" hidden="1">
      <c r="A19" s="112" t="s">
        <v>877</v>
      </c>
      <c r="B19" s="112" t="s">
        <v>628</v>
      </c>
      <c r="C19" s="112" t="s">
        <v>1020</v>
      </c>
      <c r="D19" s="112"/>
      <c r="E19" s="113" t="s">
        <v>631</v>
      </c>
      <c r="F19" s="26">
        <f t="shared" si="1"/>
        <v>0</v>
      </c>
      <c r="G19" s="27">
        <f>G20+G21</f>
        <v>0</v>
      </c>
      <c r="H19" s="27">
        <f>H20+H21</f>
        <v>0</v>
      </c>
      <c r="I19" s="27">
        <f>I20+I21</f>
        <v>0</v>
      </c>
      <c r="J19" s="27">
        <f>J20+J21</f>
        <v>0</v>
      </c>
      <c r="K19" s="26">
        <f t="shared" si="3"/>
        <v>0</v>
      </c>
      <c r="L19" s="27">
        <f>L20+L21</f>
        <v>0</v>
      </c>
      <c r="M19" s="27">
        <f>M20+M21</f>
        <v>0</v>
      </c>
      <c r="N19" s="27">
        <f>N20+N21</f>
        <v>0</v>
      </c>
      <c r="O19" s="27">
        <f>O20+O21</f>
        <v>0</v>
      </c>
      <c r="P19" s="27">
        <f>P20+P21</f>
        <v>0</v>
      </c>
      <c r="Q19" s="26">
        <f t="shared" si="4"/>
        <v>0</v>
      </c>
    </row>
    <row r="20" spans="1:17" ht="26.25" customHeight="1" hidden="1">
      <c r="A20" s="59" t="s">
        <v>173</v>
      </c>
      <c r="B20" s="28" t="s">
        <v>87</v>
      </c>
      <c r="C20" s="50" t="s">
        <v>980</v>
      </c>
      <c r="D20" s="50" t="s">
        <v>576</v>
      </c>
      <c r="E20" s="51" t="s">
        <v>174</v>
      </c>
      <c r="F20" s="26">
        <f t="shared" si="1"/>
        <v>0</v>
      </c>
      <c r="G20" s="27"/>
      <c r="H20" s="27"/>
      <c r="I20" s="27"/>
      <c r="J20" s="27"/>
      <c r="K20" s="26">
        <f t="shared" si="3"/>
        <v>0</v>
      </c>
      <c r="L20" s="27"/>
      <c r="M20" s="27"/>
      <c r="N20" s="27"/>
      <c r="O20" s="27">
        <f>P20</f>
        <v>0</v>
      </c>
      <c r="P20" s="27"/>
      <c r="Q20" s="26">
        <f t="shared" si="4"/>
        <v>0</v>
      </c>
    </row>
    <row r="21" spans="1:17" ht="162.75" customHeight="1" hidden="1">
      <c r="A21" s="59" t="s">
        <v>451</v>
      </c>
      <c r="B21" s="50" t="s">
        <v>318</v>
      </c>
      <c r="C21" s="50" t="s">
        <v>981</v>
      </c>
      <c r="D21" s="50" t="s">
        <v>588</v>
      </c>
      <c r="E21" s="79" t="s">
        <v>319</v>
      </c>
      <c r="F21" s="26">
        <f t="shared" si="1"/>
        <v>0</v>
      </c>
      <c r="G21" s="27"/>
      <c r="H21" s="27"/>
      <c r="I21" s="27"/>
      <c r="J21" s="27"/>
      <c r="K21" s="26">
        <f>L21+O21</f>
        <v>0</v>
      </c>
      <c r="L21" s="27"/>
      <c r="M21" s="27"/>
      <c r="N21" s="27"/>
      <c r="O21" s="27"/>
      <c r="P21" s="27"/>
      <c r="Q21" s="26">
        <f t="shared" si="4"/>
        <v>0</v>
      </c>
    </row>
    <row r="22" spans="1:17" ht="25.5" hidden="1">
      <c r="A22" s="112" t="s">
        <v>618</v>
      </c>
      <c r="B22" s="112" t="s">
        <v>617</v>
      </c>
      <c r="C22" s="112" t="s">
        <v>1091</v>
      </c>
      <c r="D22" s="112"/>
      <c r="E22" s="115" t="s">
        <v>619</v>
      </c>
      <c r="F22" s="26">
        <f t="shared" si="1"/>
        <v>0</v>
      </c>
      <c r="G22" s="114">
        <f>G23</f>
        <v>0</v>
      </c>
      <c r="H22" s="114">
        <f>H23</f>
        <v>0</v>
      </c>
      <c r="I22" s="114">
        <f>I23</f>
        <v>0</v>
      </c>
      <c r="J22" s="114">
        <f>J23</f>
        <v>0</v>
      </c>
      <c r="K22" s="26">
        <f t="shared" si="3"/>
        <v>0</v>
      </c>
      <c r="L22" s="114">
        <f>L23</f>
        <v>0</v>
      </c>
      <c r="M22" s="114">
        <f>M23</f>
        <v>0</v>
      </c>
      <c r="N22" s="114">
        <f>N23</f>
        <v>0</v>
      </c>
      <c r="O22" s="114">
        <f>O23</f>
        <v>0</v>
      </c>
      <c r="P22" s="114">
        <f>P23</f>
        <v>0</v>
      </c>
      <c r="Q22" s="26">
        <f t="shared" si="4"/>
        <v>0</v>
      </c>
    </row>
    <row r="23" spans="1:17" ht="25.5" hidden="1">
      <c r="A23" s="50" t="s">
        <v>572</v>
      </c>
      <c r="B23" s="28" t="s">
        <v>95</v>
      </c>
      <c r="C23" s="50" t="s">
        <v>982</v>
      </c>
      <c r="D23" s="50" t="s">
        <v>576</v>
      </c>
      <c r="E23" s="48" t="s">
        <v>259</v>
      </c>
      <c r="F23" s="26">
        <f t="shared" si="1"/>
        <v>0</v>
      </c>
      <c r="G23" s="27"/>
      <c r="H23" s="27"/>
      <c r="I23" s="27"/>
      <c r="J23" s="27"/>
      <c r="K23" s="26">
        <f t="shared" si="3"/>
        <v>0</v>
      </c>
      <c r="L23" s="27"/>
      <c r="M23" s="27"/>
      <c r="N23" s="27"/>
      <c r="O23" s="27"/>
      <c r="P23" s="27"/>
      <c r="Q23" s="26">
        <f t="shared" si="4"/>
        <v>0</v>
      </c>
    </row>
    <row r="24" spans="1:17" ht="25.5">
      <c r="A24" s="111" t="s">
        <v>675</v>
      </c>
      <c r="B24" s="112" t="s">
        <v>634</v>
      </c>
      <c r="C24" s="112" t="s">
        <v>1021</v>
      </c>
      <c r="D24" s="112"/>
      <c r="E24" s="115" t="s">
        <v>635</v>
      </c>
      <c r="F24" s="26">
        <f t="shared" si="1"/>
        <v>17369762</v>
      </c>
      <c r="G24" s="114">
        <f>G27+G25</f>
        <v>17369762</v>
      </c>
      <c r="H24" s="114">
        <f>H27+H25</f>
        <v>3544741</v>
      </c>
      <c r="I24" s="114">
        <f>I27+I25</f>
        <v>112933</v>
      </c>
      <c r="J24" s="114">
        <f>J27+J25</f>
        <v>0</v>
      </c>
      <c r="K24" s="114">
        <f t="shared" si="3"/>
        <v>18723205</v>
      </c>
      <c r="L24" s="114">
        <f>L27+L25</f>
        <v>0</v>
      </c>
      <c r="M24" s="114">
        <f>M27+M25</f>
        <v>0</v>
      </c>
      <c r="N24" s="114">
        <f>N27+N25</f>
        <v>0</v>
      </c>
      <c r="O24" s="114">
        <f>O27+O25</f>
        <v>18723205</v>
      </c>
      <c r="P24" s="114">
        <f>P27+P25</f>
        <v>18723205</v>
      </c>
      <c r="Q24" s="114">
        <f t="shared" si="4"/>
        <v>36092967</v>
      </c>
    </row>
    <row r="25" spans="1:17" ht="12.75" hidden="1">
      <c r="A25" s="111"/>
      <c r="B25" s="112"/>
      <c r="C25" s="112"/>
      <c r="D25" s="112"/>
      <c r="E25" s="115" t="s">
        <v>879</v>
      </c>
      <c r="F25" s="26">
        <f t="shared" si="1"/>
        <v>0</v>
      </c>
      <c r="G25" s="114">
        <f>G26</f>
        <v>0</v>
      </c>
      <c r="H25" s="114">
        <f>H26</f>
        <v>0</v>
      </c>
      <c r="I25" s="114">
        <f>I26</f>
        <v>0</v>
      </c>
      <c r="J25" s="114">
        <f>J26</f>
        <v>0</v>
      </c>
      <c r="K25" s="26">
        <f t="shared" si="3"/>
        <v>0</v>
      </c>
      <c r="L25" s="114">
        <f>L26</f>
        <v>0</v>
      </c>
      <c r="M25" s="114">
        <f>M26</f>
        <v>0</v>
      </c>
      <c r="N25" s="114">
        <f>N26</f>
        <v>0</v>
      </c>
      <c r="O25" s="114">
        <f>O26</f>
        <v>0</v>
      </c>
      <c r="P25" s="114">
        <f>P26</f>
        <v>0</v>
      </c>
      <c r="Q25" s="26">
        <f t="shared" si="4"/>
        <v>0</v>
      </c>
    </row>
    <row r="26" spans="1:17" ht="12.75" hidden="1">
      <c r="A26" s="59" t="s">
        <v>176</v>
      </c>
      <c r="B26" s="50" t="s">
        <v>64</v>
      </c>
      <c r="C26" s="50" t="s">
        <v>983</v>
      </c>
      <c r="D26" s="50" t="s">
        <v>880</v>
      </c>
      <c r="E26" s="48" t="s">
        <v>878</v>
      </c>
      <c r="F26" s="26">
        <f>G26+J26</f>
        <v>0</v>
      </c>
      <c r="G26" s="27"/>
      <c r="H26" s="27"/>
      <c r="I26" s="27"/>
      <c r="J26" s="27"/>
      <c r="K26" s="26">
        <f>L26+O26</f>
        <v>0</v>
      </c>
      <c r="L26" s="27"/>
      <c r="M26" s="27"/>
      <c r="N26" s="27"/>
      <c r="O26" s="27"/>
      <c r="P26" s="27"/>
      <c r="Q26" s="26">
        <f>F26+K26</f>
        <v>0</v>
      </c>
    </row>
    <row r="27" spans="1:17" ht="15" customHeight="1">
      <c r="A27" s="93" t="s">
        <v>418</v>
      </c>
      <c r="B27" s="85" t="s">
        <v>54</v>
      </c>
      <c r="C27" s="85" t="s">
        <v>1093</v>
      </c>
      <c r="D27" s="85" t="s">
        <v>577</v>
      </c>
      <c r="E27" s="87" t="s">
        <v>416</v>
      </c>
      <c r="F27" s="88">
        <f>G27+J27</f>
        <v>17369762</v>
      </c>
      <c r="G27" s="88">
        <f>SUM(G28:G40)-G34-G35-G37-G38</f>
        <v>17369762</v>
      </c>
      <c r="H27" s="88">
        <f>SUM(H28:H40)</f>
        <v>3544741</v>
      </c>
      <c r="I27" s="88">
        <f>SUM(I28:I40)</f>
        <v>112933</v>
      </c>
      <c r="J27" s="88">
        <f>SUM(J28:J40)</f>
        <v>0</v>
      </c>
      <c r="K27" s="88">
        <f t="shared" si="3"/>
        <v>18723205</v>
      </c>
      <c r="L27" s="88">
        <f>SUM(L28:L40)</f>
        <v>0</v>
      </c>
      <c r="M27" s="88">
        <f>SUM(M28:M40)</f>
        <v>0</v>
      </c>
      <c r="N27" s="88">
        <f>SUM(N28:N40)</f>
        <v>0</v>
      </c>
      <c r="O27" s="88">
        <f>SUM(O28:O40)</f>
        <v>18723205</v>
      </c>
      <c r="P27" s="88">
        <f>SUM(P28:P40)</f>
        <v>18723205</v>
      </c>
      <c r="Q27" s="88">
        <f t="shared" si="4"/>
        <v>36092967</v>
      </c>
    </row>
    <row r="28" spans="1:17" s="169" customFormat="1" ht="56.25" customHeight="1" hidden="1">
      <c r="A28" s="170" t="s">
        <v>375</v>
      </c>
      <c r="B28" s="170" t="s">
        <v>54</v>
      </c>
      <c r="C28" s="170" t="s">
        <v>984</v>
      </c>
      <c r="D28" s="170" t="s">
        <v>577</v>
      </c>
      <c r="E28" s="178" t="s">
        <v>178</v>
      </c>
      <c r="F28" s="173">
        <f>G28+J28</f>
        <v>5898191</v>
      </c>
      <c r="G28" s="173">
        <f>5271980+181717-37+444531</f>
        <v>5898191</v>
      </c>
      <c r="H28" s="173">
        <f>3031424+148948+364369</f>
        <v>3544741</v>
      </c>
      <c r="I28" s="173">
        <v>112933</v>
      </c>
      <c r="J28" s="173"/>
      <c r="K28" s="173">
        <f>L28+O28</f>
        <v>0</v>
      </c>
      <c r="L28" s="173"/>
      <c r="M28" s="173"/>
      <c r="N28" s="173"/>
      <c r="O28" s="173"/>
      <c r="P28" s="173"/>
      <c r="Q28" s="173">
        <f>F28+K28</f>
        <v>5898191</v>
      </c>
    </row>
    <row r="29" spans="1:17" s="181" customFormat="1" ht="41.25" customHeight="1" hidden="1">
      <c r="A29" s="170" t="s">
        <v>492</v>
      </c>
      <c r="B29" s="171" t="s">
        <v>54</v>
      </c>
      <c r="C29" s="170" t="s">
        <v>985</v>
      </c>
      <c r="D29" s="170" t="s">
        <v>577</v>
      </c>
      <c r="E29" s="178" t="s">
        <v>853</v>
      </c>
      <c r="F29" s="173">
        <f aca="true" t="shared" si="7" ref="F29:F42">G29+J29</f>
        <v>0</v>
      </c>
      <c r="G29" s="180"/>
      <c r="H29" s="180"/>
      <c r="I29" s="180"/>
      <c r="J29" s="180"/>
      <c r="K29" s="173">
        <f aca="true" t="shared" si="8" ref="K29:K43">L29+O29</f>
        <v>0</v>
      </c>
      <c r="L29" s="173"/>
      <c r="M29" s="173"/>
      <c r="N29" s="173"/>
      <c r="O29" s="173"/>
      <c r="P29" s="173"/>
      <c r="Q29" s="173">
        <f aca="true" t="shared" si="9" ref="Q29:Q42">F29+K29</f>
        <v>0</v>
      </c>
    </row>
    <row r="30" spans="1:17" s="169" customFormat="1" ht="51" customHeight="1" hidden="1">
      <c r="A30" s="170" t="s">
        <v>436</v>
      </c>
      <c r="B30" s="170" t="s">
        <v>54</v>
      </c>
      <c r="C30" s="170" t="s">
        <v>986</v>
      </c>
      <c r="D30" s="170" t="s">
        <v>577</v>
      </c>
      <c r="E30" s="178" t="s">
        <v>333</v>
      </c>
      <c r="F30" s="173">
        <f t="shared" si="7"/>
        <v>0</v>
      </c>
      <c r="G30" s="173"/>
      <c r="H30" s="173"/>
      <c r="I30" s="173"/>
      <c r="J30" s="173"/>
      <c r="K30" s="173">
        <f t="shared" si="8"/>
        <v>0</v>
      </c>
      <c r="L30" s="173"/>
      <c r="M30" s="173"/>
      <c r="N30" s="173"/>
      <c r="O30" s="173"/>
      <c r="P30" s="173"/>
      <c r="Q30" s="173">
        <f t="shared" si="9"/>
        <v>0</v>
      </c>
    </row>
    <row r="31" spans="1:17" s="169" customFormat="1" ht="50.25" customHeight="1" hidden="1">
      <c r="A31" s="170" t="s">
        <v>883</v>
      </c>
      <c r="B31" s="170" t="s">
        <v>54</v>
      </c>
      <c r="C31" s="170" t="s">
        <v>987</v>
      </c>
      <c r="D31" s="170" t="s">
        <v>577</v>
      </c>
      <c r="E31" s="178" t="s">
        <v>479</v>
      </c>
      <c r="F31" s="173">
        <f t="shared" si="7"/>
        <v>0</v>
      </c>
      <c r="G31" s="173"/>
      <c r="H31" s="173"/>
      <c r="I31" s="173"/>
      <c r="J31" s="173"/>
      <c r="K31" s="173">
        <f t="shared" si="8"/>
        <v>0</v>
      </c>
      <c r="L31" s="173"/>
      <c r="M31" s="173"/>
      <c r="N31" s="173"/>
      <c r="O31" s="173"/>
      <c r="P31" s="173"/>
      <c r="Q31" s="173">
        <f t="shared" si="9"/>
        <v>0</v>
      </c>
    </row>
    <row r="32" spans="1:17" s="169" customFormat="1" ht="53.25" customHeight="1" hidden="1">
      <c r="A32" s="170" t="s">
        <v>884</v>
      </c>
      <c r="B32" s="170" t="s">
        <v>54</v>
      </c>
      <c r="C32" s="170" t="s">
        <v>988</v>
      </c>
      <c r="D32" s="170" t="s">
        <v>577</v>
      </c>
      <c r="E32" s="178" t="s">
        <v>362</v>
      </c>
      <c r="F32" s="173">
        <f t="shared" si="7"/>
        <v>0</v>
      </c>
      <c r="G32" s="173"/>
      <c r="H32" s="173"/>
      <c r="I32" s="173"/>
      <c r="J32" s="173"/>
      <c r="K32" s="173">
        <f t="shared" si="8"/>
        <v>0</v>
      </c>
      <c r="L32" s="173"/>
      <c r="M32" s="173"/>
      <c r="N32" s="173"/>
      <c r="O32" s="173"/>
      <c r="P32" s="173"/>
      <c r="Q32" s="173">
        <f t="shared" si="9"/>
        <v>0</v>
      </c>
    </row>
    <row r="33" spans="1:17" s="169" customFormat="1" ht="51" hidden="1">
      <c r="A33" s="170" t="s">
        <v>411</v>
      </c>
      <c r="B33" s="170" t="s">
        <v>54</v>
      </c>
      <c r="C33" s="170" t="s">
        <v>989</v>
      </c>
      <c r="D33" s="170" t="s">
        <v>577</v>
      </c>
      <c r="E33" s="178" t="s">
        <v>320</v>
      </c>
      <c r="F33" s="173">
        <f t="shared" si="7"/>
        <v>494855</v>
      </c>
      <c r="G33" s="173">
        <f>G34+G35</f>
        <v>494855</v>
      </c>
      <c r="H33" s="173"/>
      <c r="I33" s="173"/>
      <c r="J33" s="173"/>
      <c r="K33" s="173">
        <f t="shared" si="8"/>
        <v>0</v>
      </c>
      <c r="L33" s="173"/>
      <c r="M33" s="173"/>
      <c r="N33" s="173"/>
      <c r="O33" s="173"/>
      <c r="P33" s="173"/>
      <c r="Q33" s="173">
        <f t="shared" si="9"/>
        <v>494855</v>
      </c>
    </row>
    <row r="34" spans="1:17" s="169" customFormat="1" ht="38.25" hidden="1">
      <c r="A34" s="170"/>
      <c r="B34" s="170"/>
      <c r="C34" s="170"/>
      <c r="D34" s="170"/>
      <c r="E34" s="175" t="s">
        <v>974</v>
      </c>
      <c r="F34" s="173">
        <f t="shared" si="7"/>
        <v>324855</v>
      </c>
      <c r="G34" s="173">
        <v>324855</v>
      </c>
      <c r="H34" s="173"/>
      <c r="I34" s="173"/>
      <c r="J34" s="173"/>
      <c r="K34" s="173"/>
      <c r="L34" s="173"/>
      <c r="M34" s="173"/>
      <c r="N34" s="173"/>
      <c r="O34" s="173"/>
      <c r="P34" s="173"/>
      <c r="Q34" s="173">
        <f t="shared" si="9"/>
        <v>324855</v>
      </c>
    </row>
    <row r="35" spans="1:17" s="169" customFormat="1" ht="12.75" hidden="1">
      <c r="A35" s="170"/>
      <c r="B35" s="170"/>
      <c r="C35" s="170"/>
      <c r="D35" s="170"/>
      <c r="E35" s="175" t="s">
        <v>975</v>
      </c>
      <c r="F35" s="173">
        <f t="shared" si="7"/>
        <v>170000</v>
      </c>
      <c r="G35" s="173">
        <v>170000</v>
      </c>
      <c r="H35" s="173"/>
      <c r="I35" s="173"/>
      <c r="J35" s="173"/>
      <c r="K35" s="173"/>
      <c r="L35" s="173"/>
      <c r="M35" s="173"/>
      <c r="N35" s="173"/>
      <c r="O35" s="173"/>
      <c r="P35" s="173"/>
      <c r="Q35" s="173">
        <f t="shared" si="9"/>
        <v>170000</v>
      </c>
    </row>
    <row r="36" spans="1:17" s="169" customFormat="1" ht="102" customHeight="1" hidden="1">
      <c r="A36" s="170" t="s">
        <v>374</v>
      </c>
      <c r="B36" s="170" t="s">
        <v>54</v>
      </c>
      <c r="C36" s="170" t="s">
        <v>990</v>
      </c>
      <c r="D36" s="170" t="s">
        <v>577</v>
      </c>
      <c r="E36" s="178" t="s">
        <v>366</v>
      </c>
      <c r="F36" s="173">
        <f>G36+J36</f>
        <v>748849</v>
      </c>
      <c r="G36" s="176">
        <f>G37+G38</f>
        <v>748849</v>
      </c>
      <c r="H36" s="176"/>
      <c r="I36" s="176"/>
      <c r="J36" s="176"/>
      <c r="K36" s="173">
        <f t="shared" si="8"/>
        <v>0</v>
      </c>
      <c r="L36" s="176"/>
      <c r="M36" s="176"/>
      <c r="N36" s="176"/>
      <c r="O36" s="176"/>
      <c r="P36" s="176"/>
      <c r="Q36" s="173">
        <f t="shared" si="9"/>
        <v>748849</v>
      </c>
    </row>
    <row r="37" spans="1:17" s="169" customFormat="1" ht="12.75" hidden="1">
      <c r="A37" s="170"/>
      <c r="B37" s="170"/>
      <c r="C37" s="170"/>
      <c r="D37" s="170"/>
      <c r="E37" s="175" t="s">
        <v>1139</v>
      </c>
      <c r="F37" s="173">
        <f>G37+J37</f>
        <v>609849</v>
      </c>
      <c r="G37" s="176">
        <f>382771+227078</f>
        <v>609849</v>
      </c>
      <c r="H37" s="176"/>
      <c r="I37" s="176"/>
      <c r="J37" s="176"/>
      <c r="K37" s="173"/>
      <c r="L37" s="176"/>
      <c r="M37" s="176"/>
      <c r="N37" s="176"/>
      <c r="O37" s="176"/>
      <c r="P37" s="176"/>
      <c r="Q37" s="173">
        <f t="shared" si="9"/>
        <v>609849</v>
      </c>
    </row>
    <row r="38" spans="1:17" s="169" customFormat="1" ht="30" customHeight="1" hidden="1">
      <c r="A38" s="170"/>
      <c r="B38" s="170"/>
      <c r="C38" s="170"/>
      <c r="D38" s="170"/>
      <c r="E38" s="175" t="s">
        <v>976</v>
      </c>
      <c r="F38" s="173">
        <f>G38+J38</f>
        <v>139000</v>
      </c>
      <c r="G38" s="176">
        <f>200000-61000</f>
        <v>139000</v>
      </c>
      <c r="H38" s="176"/>
      <c r="I38" s="176"/>
      <c r="J38" s="176"/>
      <c r="K38" s="173"/>
      <c r="L38" s="176"/>
      <c r="M38" s="176"/>
      <c r="N38" s="176"/>
      <c r="O38" s="176"/>
      <c r="P38" s="176"/>
      <c r="Q38" s="173">
        <f t="shared" si="9"/>
        <v>139000</v>
      </c>
    </row>
    <row r="39" spans="1:17" s="169" customFormat="1" ht="25.5" hidden="1">
      <c r="A39" s="170" t="s">
        <v>885</v>
      </c>
      <c r="B39" s="170" t="s">
        <v>54</v>
      </c>
      <c r="C39" s="170" t="s">
        <v>991</v>
      </c>
      <c r="D39" s="170" t="s">
        <v>577</v>
      </c>
      <c r="E39" s="178" t="s">
        <v>886</v>
      </c>
      <c r="F39" s="173">
        <f t="shared" si="7"/>
        <v>0</v>
      </c>
      <c r="G39" s="176"/>
      <c r="H39" s="176"/>
      <c r="I39" s="176"/>
      <c r="J39" s="176"/>
      <c r="K39" s="173">
        <f t="shared" si="8"/>
        <v>0</v>
      </c>
      <c r="L39" s="176"/>
      <c r="M39" s="176"/>
      <c r="N39" s="176"/>
      <c r="O39" s="176"/>
      <c r="P39" s="176"/>
      <c r="Q39" s="173">
        <f t="shared" si="9"/>
        <v>0</v>
      </c>
    </row>
    <row r="40" spans="1:17" s="169" customFormat="1" ht="15" customHeight="1" hidden="1">
      <c r="A40" s="171" t="s">
        <v>833</v>
      </c>
      <c r="B40" s="171" t="s">
        <v>54</v>
      </c>
      <c r="C40" s="171"/>
      <c r="D40" s="170" t="s">
        <v>577</v>
      </c>
      <c r="E40" s="178" t="s">
        <v>1205</v>
      </c>
      <c r="F40" s="173">
        <f t="shared" si="7"/>
        <v>10227867</v>
      </c>
      <c r="G40" s="173">
        <f>G41+G42</f>
        <v>10227867</v>
      </c>
      <c r="H40" s="173">
        <f aca="true" t="shared" si="10" ref="H40:P40">H41+H42</f>
        <v>0</v>
      </c>
      <c r="I40" s="173">
        <f t="shared" si="10"/>
        <v>0</v>
      </c>
      <c r="J40" s="173">
        <f t="shared" si="10"/>
        <v>0</v>
      </c>
      <c r="K40" s="173">
        <f t="shared" si="10"/>
        <v>18723205</v>
      </c>
      <c r="L40" s="173">
        <f t="shared" si="10"/>
        <v>0</v>
      </c>
      <c r="M40" s="173">
        <f t="shared" si="10"/>
        <v>0</v>
      </c>
      <c r="N40" s="173">
        <f t="shared" si="10"/>
        <v>0</v>
      </c>
      <c r="O40" s="173">
        <f t="shared" si="10"/>
        <v>18723205</v>
      </c>
      <c r="P40" s="173">
        <f t="shared" si="10"/>
        <v>18723205</v>
      </c>
      <c r="Q40" s="173">
        <f t="shared" si="9"/>
        <v>28951072</v>
      </c>
    </row>
    <row r="41" spans="1:17" s="169" customFormat="1" ht="15" customHeight="1" hidden="1">
      <c r="A41" s="171"/>
      <c r="B41" s="171"/>
      <c r="C41" s="171"/>
      <c r="D41" s="170"/>
      <c r="E41" s="178" t="s">
        <v>1145</v>
      </c>
      <c r="F41" s="173">
        <f t="shared" si="7"/>
        <v>3232469</v>
      </c>
      <c r="G41" s="173">
        <f>4055469-823000</f>
        <v>3232469</v>
      </c>
      <c r="H41" s="173"/>
      <c r="I41" s="173"/>
      <c r="J41" s="173"/>
      <c r="K41" s="173">
        <f t="shared" si="8"/>
        <v>18546205</v>
      </c>
      <c r="L41" s="173"/>
      <c r="M41" s="173"/>
      <c r="N41" s="173"/>
      <c r="O41" s="173">
        <f>P41</f>
        <v>18546205</v>
      </c>
      <c r="P41" s="173">
        <f>19471766-925561</f>
        <v>18546205</v>
      </c>
      <c r="Q41" s="173">
        <f t="shared" si="9"/>
        <v>21778674</v>
      </c>
    </row>
    <row r="42" spans="1:17" s="169" customFormat="1" ht="15" customHeight="1" hidden="1">
      <c r="A42" s="171"/>
      <c r="B42" s="171"/>
      <c r="C42" s="171"/>
      <c r="D42" s="170"/>
      <c r="E42" s="178" t="s">
        <v>1204</v>
      </c>
      <c r="F42" s="173">
        <f t="shared" si="7"/>
        <v>6995398</v>
      </c>
      <c r="G42" s="173">
        <f>3739648+3255750</f>
        <v>6995398</v>
      </c>
      <c r="H42" s="173"/>
      <c r="I42" s="173"/>
      <c r="J42" s="173"/>
      <c r="K42" s="173">
        <f t="shared" si="8"/>
        <v>177000</v>
      </c>
      <c r="L42" s="173"/>
      <c r="M42" s="173"/>
      <c r="N42" s="173"/>
      <c r="O42" s="173">
        <f>P42</f>
        <v>177000</v>
      </c>
      <c r="P42" s="173">
        <v>177000</v>
      </c>
      <c r="Q42" s="173">
        <f t="shared" si="9"/>
        <v>7172398</v>
      </c>
    </row>
    <row r="43" spans="1:17" ht="12.75">
      <c r="A43" s="111" t="s">
        <v>674</v>
      </c>
      <c r="B43" s="112" t="s">
        <v>98</v>
      </c>
      <c r="C43" s="112" t="s">
        <v>1015</v>
      </c>
      <c r="D43" s="112"/>
      <c r="E43" s="115" t="s">
        <v>99</v>
      </c>
      <c r="F43" s="26">
        <f>G43+J43</f>
        <v>0</v>
      </c>
      <c r="G43" s="114">
        <f>G44</f>
        <v>0</v>
      </c>
      <c r="H43" s="114"/>
      <c r="I43" s="114"/>
      <c r="J43" s="114"/>
      <c r="K43" s="114">
        <f t="shared" si="8"/>
        <v>387831</v>
      </c>
      <c r="L43" s="114">
        <f>L44</f>
        <v>147831</v>
      </c>
      <c r="M43" s="114"/>
      <c r="N43" s="114"/>
      <c r="O43" s="114">
        <f>O44</f>
        <v>240000</v>
      </c>
      <c r="P43" s="114"/>
      <c r="Q43" s="114">
        <f>F43+K43</f>
        <v>387831</v>
      </c>
    </row>
    <row r="44" spans="1:17" ht="78" customHeight="1">
      <c r="A44" s="93" t="s">
        <v>531</v>
      </c>
      <c r="B44" s="85" t="s">
        <v>53</v>
      </c>
      <c r="C44" s="85" t="s">
        <v>992</v>
      </c>
      <c r="D44" s="85" t="s">
        <v>577</v>
      </c>
      <c r="E44" s="87" t="s">
        <v>431</v>
      </c>
      <c r="F44" s="26">
        <f>G44+J44</f>
        <v>0</v>
      </c>
      <c r="G44" s="88">
        <f>G45</f>
        <v>0</v>
      </c>
      <c r="H44" s="88">
        <f>H45</f>
        <v>0</v>
      </c>
      <c r="I44" s="88">
        <f>I45</f>
        <v>0</v>
      </c>
      <c r="J44" s="88">
        <f>J45</f>
        <v>0</v>
      </c>
      <c r="K44" s="88">
        <f>L44+O44</f>
        <v>387831</v>
      </c>
      <c r="L44" s="88">
        <f>L45</f>
        <v>147831</v>
      </c>
      <c r="M44" s="88">
        <f>M45</f>
        <v>0</v>
      </c>
      <c r="N44" s="88">
        <f>N45</f>
        <v>0</v>
      </c>
      <c r="O44" s="88">
        <f>O45</f>
        <v>240000</v>
      </c>
      <c r="P44" s="88">
        <f>P45</f>
        <v>0</v>
      </c>
      <c r="Q44" s="88">
        <f>F44+K44</f>
        <v>387831</v>
      </c>
    </row>
    <row r="45" spans="1:17" s="169" customFormat="1" ht="25.5" hidden="1">
      <c r="A45" s="170" t="s">
        <v>532</v>
      </c>
      <c r="B45" s="171" t="s">
        <v>53</v>
      </c>
      <c r="C45" s="170" t="s">
        <v>993</v>
      </c>
      <c r="D45" s="170" t="s">
        <v>577</v>
      </c>
      <c r="E45" s="178" t="s">
        <v>175</v>
      </c>
      <c r="F45" s="173">
        <f>G45+J45</f>
        <v>0</v>
      </c>
      <c r="G45" s="173"/>
      <c r="H45" s="173"/>
      <c r="I45" s="173"/>
      <c r="J45" s="173"/>
      <c r="K45" s="173">
        <f>L45+O45</f>
        <v>387831</v>
      </c>
      <c r="L45" s="173">
        <f>83150+304681-240000</f>
        <v>147831</v>
      </c>
      <c r="M45" s="173"/>
      <c r="N45" s="173"/>
      <c r="O45" s="173">
        <v>240000</v>
      </c>
      <c r="P45" s="173"/>
      <c r="Q45" s="173">
        <f>F45+K45</f>
        <v>387831</v>
      </c>
    </row>
    <row r="46" spans="1:18" s="41" customFormat="1" ht="29.25" customHeight="1">
      <c r="A46" s="62" t="s">
        <v>179</v>
      </c>
      <c r="B46" s="62" t="s">
        <v>153</v>
      </c>
      <c r="C46" s="62" t="s">
        <v>153</v>
      </c>
      <c r="D46" s="62"/>
      <c r="E46" s="61" t="s">
        <v>831</v>
      </c>
      <c r="F46" s="39">
        <f aca="true" t="shared" si="11" ref="F46:P46">F47</f>
        <v>1853533285</v>
      </c>
      <c r="G46" s="39">
        <f t="shared" si="11"/>
        <v>1853533285</v>
      </c>
      <c r="H46" s="39">
        <f t="shared" si="11"/>
        <v>1188949617</v>
      </c>
      <c r="I46" s="39">
        <f t="shared" si="11"/>
        <v>201857625</v>
      </c>
      <c r="J46" s="39">
        <f t="shared" si="11"/>
        <v>0</v>
      </c>
      <c r="K46" s="39">
        <f t="shared" si="11"/>
        <v>247522044</v>
      </c>
      <c r="L46" s="39">
        <f t="shared" si="11"/>
        <v>73072881</v>
      </c>
      <c r="M46" s="39">
        <f t="shared" si="11"/>
        <v>12538063</v>
      </c>
      <c r="N46" s="39">
        <f t="shared" si="11"/>
        <v>4327052</v>
      </c>
      <c r="O46" s="39">
        <f t="shared" si="11"/>
        <v>174449163</v>
      </c>
      <c r="P46" s="39">
        <f t="shared" si="11"/>
        <v>162675543</v>
      </c>
      <c r="Q46" s="40">
        <f>F46+K46</f>
        <v>2101055329</v>
      </c>
      <c r="R46" s="165"/>
    </row>
    <row r="47" spans="1:19" ht="25.5" customHeight="1">
      <c r="A47" s="50" t="s">
        <v>180</v>
      </c>
      <c r="B47" s="28"/>
      <c r="C47" s="28"/>
      <c r="D47" s="28"/>
      <c r="E47" s="51" t="s">
        <v>831</v>
      </c>
      <c r="F47" s="27">
        <f>G47+J47</f>
        <v>1853533285</v>
      </c>
      <c r="G47" s="27">
        <f>G48+G50+G78+G85+G92+G94+G99+G96</f>
        <v>1853533285</v>
      </c>
      <c r="H47" s="27">
        <f>H48+H50+H78+H85+H92+H94+H99+H96</f>
        <v>1188949617</v>
      </c>
      <c r="I47" s="27">
        <f>I48+I50+I78+I85+I92+I94+I99+I96</f>
        <v>201857625</v>
      </c>
      <c r="J47" s="27">
        <f>J48+J50+J78+J85+J92+J94+J99+J96</f>
        <v>0</v>
      </c>
      <c r="K47" s="27">
        <f>L47+O47</f>
        <v>247522044</v>
      </c>
      <c r="L47" s="27">
        <f>L48+L50+L78+L85+L92+L94+L99+L96</f>
        <v>73072881</v>
      </c>
      <c r="M47" s="27">
        <f>M48+M50+M78+M85+M92+M94+M99+M96</f>
        <v>12538063</v>
      </c>
      <c r="N47" s="27">
        <f>N48+N50+N78+N85+N92+N94+N99+N96</f>
        <v>4327052</v>
      </c>
      <c r="O47" s="27">
        <f>O48+O50+O78+O85+O92+O94+O99+O96</f>
        <v>174449163</v>
      </c>
      <c r="P47" s="27">
        <f>P48+P50+P78+P85+P92+P94+P99+P96</f>
        <v>162675543</v>
      </c>
      <c r="Q47" s="27">
        <f>F47+K47</f>
        <v>2101055329</v>
      </c>
      <c r="S47" s="164"/>
    </row>
    <row r="48" spans="1:17" ht="12.75">
      <c r="A48" s="112" t="s">
        <v>676</v>
      </c>
      <c r="B48" s="112" t="s">
        <v>671</v>
      </c>
      <c r="C48" s="112" t="s">
        <v>972</v>
      </c>
      <c r="D48" s="112"/>
      <c r="E48" s="113" t="s">
        <v>673</v>
      </c>
      <c r="F48" s="27">
        <f aca="true" t="shared" si="12" ref="F48:F98">G48+J48</f>
        <v>8077612</v>
      </c>
      <c r="G48" s="114">
        <f>G49</f>
        <v>8077612</v>
      </c>
      <c r="H48" s="114">
        <f>H49</f>
        <v>6083732</v>
      </c>
      <c r="I48" s="114">
        <f>I49</f>
        <v>374895</v>
      </c>
      <c r="J48" s="114">
        <f>J49</f>
        <v>0</v>
      </c>
      <c r="K48" s="27">
        <f aca="true" t="shared" si="13" ref="K48:K98">L48+O48</f>
        <v>0</v>
      </c>
      <c r="L48" s="114">
        <f>L49</f>
        <v>0</v>
      </c>
      <c r="M48" s="114">
        <f>M49</f>
        <v>0</v>
      </c>
      <c r="N48" s="114">
        <f>N49</f>
        <v>0</v>
      </c>
      <c r="O48" s="114">
        <f>O49</f>
        <v>0</v>
      </c>
      <c r="P48" s="114">
        <f>P49</f>
        <v>0</v>
      </c>
      <c r="Q48" s="27">
        <f aca="true" t="shared" si="14" ref="Q48:Q103">F48+K48</f>
        <v>8077612</v>
      </c>
    </row>
    <row r="49" spans="1:17" ht="25.5">
      <c r="A49" s="50" t="s">
        <v>1</v>
      </c>
      <c r="B49" s="28" t="s">
        <v>33</v>
      </c>
      <c r="C49" s="50" t="s">
        <v>613</v>
      </c>
      <c r="D49" s="50" t="s">
        <v>574</v>
      </c>
      <c r="E49" s="51" t="s">
        <v>970</v>
      </c>
      <c r="F49" s="27">
        <f t="shared" si="12"/>
        <v>8077612</v>
      </c>
      <c r="G49" s="27">
        <f>6446676+33785+16100+1561875+19176</f>
        <v>8077612</v>
      </c>
      <c r="H49" s="27">
        <f>4779779+1288142+15811</f>
        <v>6083732</v>
      </c>
      <c r="I49" s="27">
        <v>374895</v>
      </c>
      <c r="J49" s="27"/>
      <c r="K49" s="27">
        <f t="shared" si="13"/>
        <v>0</v>
      </c>
      <c r="L49" s="27"/>
      <c r="M49" s="27"/>
      <c r="N49" s="27"/>
      <c r="O49" s="27"/>
      <c r="P49" s="27"/>
      <c r="Q49" s="27">
        <f t="shared" si="14"/>
        <v>8077612</v>
      </c>
    </row>
    <row r="50" spans="1:19" ht="12.75">
      <c r="A50" s="112" t="s">
        <v>621</v>
      </c>
      <c r="B50" s="112" t="s">
        <v>620</v>
      </c>
      <c r="C50" s="112" t="s">
        <v>1036</v>
      </c>
      <c r="D50" s="112"/>
      <c r="E50" s="113" t="s">
        <v>622</v>
      </c>
      <c r="F50" s="27">
        <f t="shared" si="12"/>
        <v>1834782260</v>
      </c>
      <c r="G50" s="114">
        <f>G51+G53+G58+G62+G66+G67+G72+G73+G74+G75+G76+G77</f>
        <v>1834782260</v>
      </c>
      <c r="H50" s="114">
        <f>H51+H53+H58+H62+H66+H67+H72+H73+H74+H75+H76+H77</f>
        <v>1182814139</v>
      </c>
      <c r="I50" s="114">
        <f>I51+I53+I58+I62+I66+I67+I72+I73+I74+I75+I76+I77</f>
        <v>201482730</v>
      </c>
      <c r="J50" s="114">
        <f>J51+J53+J58+J62+J66+J67+J72+J73+J74+J75+J76+J77</f>
        <v>0</v>
      </c>
      <c r="K50" s="27">
        <f t="shared" si="13"/>
        <v>136566929</v>
      </c>
      <c r="L50" s="114">
        <f>L51+L53+L58+L62+L66+L67+L72+L73+L74+L75+L76+L77</f>
        <v>73037881</v>
      </c>
      <c r="M50" s="114">
        <f>M51+M53+M58+M62+M66+M67+M72+M73+M74+M75+M76+M77</f>
        <v>12538063</v>
      </c>
      <c r="N50" s="114">
        <f>N51+N53+N58+N62+N66+N67+N72+N73+N74+N75+N76+N77</f>
        <v>4327052</v>
      </c>
      <c r="O50" s="114">
        <f>O51+O53+O58+O62+O66+O67+O72+O73+O74+O75+O76+O77</f>
        <v>63529048</v>
      </c>
      <c r="P50" s="114">
        <f>P51+P53+P58+P62+P66+P67+P72+P73+P74+P75+P76+P77</f>
        <v>62555650</v>
      </c>
      <c r="Q50" s="27">
        <f t="shared" si="14"/>
        <v>1971349189</v>
      </c>
      <c r="S50" s="164"/>
    </row>
    <row r="51" spans="1:17" ht="12.75">
      <c r="A51" s="50" t="s">
        <v>182</v>
      </c>
      <c r="B51" s="28" t="s">
        <v>57</v>
      </c>
      <c r="C51" s="50" t="s">
        <v>599</v>
      </c>
      <c r="D51" s="50" t="s">
        <v>578</v>
      </c>
      <c r="E51" s="51" t="s">
        <v>181</v>
      </c>
      <c r="F51" s="27">
        <f t="shared" si="12"/>
        <v>498373790</v>
      </c>
      <c r="G51" s="27">
        <f>464748811+((480050))+9800000-5000000+4000000+(122020)+(30000)+(159700)-(23600)-1012920+(140610)+(100490)-(1400)-44004+(185462)+(228884)+(10000)+21749144+(14430)+(121665)+(50000)+223532+(43000)+(134000)+(3000)-800000+361905+(48623)+(200800)+(20000)+(198500)+2051974+(197000)+135431+24100+(8115)+186918-767750+(170800)+(5500)+(50000)+(19000)</f>
        <v>498373790</v>
      </c>
      <c r="H51" s="27">
        <f>279125568+18567133</f>
        <v>297692701</v>
      </c>
      <c r="I51" s="27">
        <f>72614697-800000</f>
        <v>71814697</v>
      </c>
      <c r="J51" s="27"/>
      <c r="K51" s="27">
        <f t="shared" si="13"/>
        <v>61420580</v>
      </c>
      <c r="L51" s="27">
        <v>40024089</v>
      </c>
      <c r="M51" s="27">
        <v>161747</v>
      </c>
      <c r="N51" s="27">
        <v>9976</v>
      </c>
      <c r="O51" s="27">
        <f>P51</f>
        <v>21396491</v>
      </c>
      <c r="P51" s="27">
        <f>25552292+269300+((260450))+(24900)+(96800)+(23600)-1156115+(243400)-(5000)+(5000)-841560+(129000)+(85000)-665040+(64485)+(41565)+(20000)-871500+(36900)+(65000)-(3000)-4063521+659121+(27877)+(40000)+(62000)+488600+(123899)-30800-39479-24100+(4620)-90953+767750+(96000)</f>
        <v>21396491</v>
      </c>
      <c r="Q51" s="27">
        <f t="shared" si="14"/>
        <v>559794370</v>
      </c>
    </row>
    <row r="52" spans="1:17" s="148" customFormat="1" ht="48" customHeight="1">
      <c r="A52" s="146"/>
      <c r="B52" s="146"/>
      <c r="C52" s="146"/>
      <c r="D52" s="146"/>
      <c r="E52" s="135" t="s">
        <v>865</v>
      </c>
      <c r="F52" s="147">
        <f t="shared" si="12"/>
        <v>0</v>
      </c>
      <c r="G52" s="147">
        <f>745388-745388</f>
        <v>0</v>
      </c>
      <c r="H52" s="147"/>
      <c r="I52" s="147"/>
      <c r="J52" s="147"/>
      <c r="K52" s="147">
        <f t="shared" si="13"/>
        <v>1130388</v>
      </c>
      <c r="L52" s="147"/>
      <c r="M52" s="147"/>
      <c r="N52" s="147"/>
      <c r="O52" s="147">
        <f>P52</f>
        <v>1130388</v>
      </c>
      <c r="P52" s="147">
        <f>385000+745388</f>
        <v>1130388</v>
      </c>
      <c r="Q52" s="147">
        <f t="shared" si="14"/>
        <v>1130388</v>
      </c>
    </row>
    <row r="53" spans="1:17" ht="96.75" customHeight="1">
      <c r="A53" s="50" t="s">
        <v>183</v>
      </c>
      <c r="B53" s="28" t="s">
        <v>34</v>
      </c>
      <c r="C53" s="50" t="s">
        <v>600</v>
      </c>
      <c r="D53" s="50" t="s">
        <v>579</v>
      </c>
      <c r="E53" s="51" t="s">
        <v>184</v>
      </c>
      <c r="F53" s="27">
        <f t="shared" si="12"/>
        <v>1015596487</v>
      </c>
      <c r="G53" s="27">
        <f>985117717+((265200))+23700000-1508000-15000000+6000000-1034478+125000+(285000)+(55921)+(336000)-1780842+(384797)+(101750)+(30000)+1444604+(526998)+(301800)+9157345+(265788)+(100800)+(10000)-409105+(97000)+(711566)-700000+1101325+(523752)+(596566)+(20000)+(215000)+3752408+(452075)+51384+500000-7200-500000+(74457)+739301-710325+52312+(113071)+(7000)-(11000)+(41500)</f>
        <v>1015596487</v>
      </c>
      <c r="H53" s="27">
        <f>681131390-847935+102459+1008616+8076878</f>
        <v>689471408</v>
      </c>
      <c r="I53" s="27">
        <f>100281985-700000</f>
        <v>99581985</v>
      </c>
      <c r="J53" s="27"/>
      <c r="K53" s="27">
        <f t="shared" si="13"/>
        <v>56673061</v>
      </c>
      <c r="L53" s="27">
        <v>20651063</v>
      </c>
      <c r="M53" s="27">
        <v>8554097</v>
      </c>
      <c r="N53" s="27">
        <v>754111</v>
      </c>
      <c r="O53" s="27">
        <f>P53+246888</f>
        <v>36021998</v>
      </c>
      <c r="P53" s="27">
        <f>9764481-269300+((1792000))+(54000)+(121000)+(128411)+(407200)+2415170+(99900)+(140000)-(20000)+375599+(426589)+(58380)+2127373+(92556)+(195000)+306682+(45000)+(141043)+7727040+3054304+(2048)+(47834)+(11000)-20000+8147682+(27313)+15000-445958+7200+276916-(49000)-2354405+710325+104998+(80729)+(11000)+(20000)</f>
        <v>35775110</v>
      </c>
      <c r="Q53" s="27">
        <f t="shared" si="14"/>
        <v>1072269548</v>
      </c>
    </row>
    <row r="54" spans="1:17" s="148" customFormat="1" ht="12.75">
      <c r="A54" s="146"/>
      <c r="B54" s="146"/>
      <c r="C54" s="146"/>
      <c r="D54" s="146"/>
      <c r="E54" s="135" t="s">
        <v>881</v>
      </c>
      <c r="F54" s="147">
        <f t="shared" si="12"/>
        <v>670344848</v>
      </c>
      <c r="G54" s="147">
        <f>671047364-827516+125000</f>
        <v>670344848</v>
      </c>
      <c r="H54" s="147">
        <f>550038823-678294+102459</f>
        <v>549462988</v>
      </c>
      <c r="I54" s="147"/>
      <c r="J54" s="147"/>
      <c r="K54" s="27">
        <f t="shared" si="13"/>
        <v>0</v>
      </c>
      <c r="L54" s="147"/>
      <c r="M54" s="147"/>
      <c r="N54" s="147"/>
      <c r="O54" s="147">
        <f>P54</f>
        <v>0</v>
      </c>
      <c r="P54" s="147"/>
      <c r="Q54" s="147">
        <f t="shared" si="14"/>
        <v>670344848</v>
      </c>
    </row>
    <row r="55" spans="1:17" s="148" customFormat="1" ht="36">
      <c r="A55" s="146"/>
      <c r="B55" s="146"/>
      <c r="C55" s="146"/>
      <c r="D55" s="146"/>
      <c r="E55" s="135" t="s">
        <v>1206</v>
      </c>
      <c r="F55" s="147">
        <f>G55</f>
        <v>1434804</v>
      </c>
      <c r="G55" s="147">
        <v>1434804</v>
      </c>
      <c r="H55" s="147">
        <v>1008616</v>
      </c>
      <c r="I55" s="147"/>
      <c r="J55" s="147"/>
      <c r="K55" s="27">
        <f t="shared" si="13"/>
        <v>103335</v>
      </c>
      <c r="L55" s="147"/>
      <c r="M55" s="147"/>
      <c r="N55" s="147"/>
      <c r="O55" s="147">
        <f>P55</f>
        <v>103335</v>
      </c>
      <c r="P55" s="147">
        <v>103335</v>
      </c>
      <c r="Q55" s="147">
        <f t="shared" si="14"/>
        <v>1538139</v>
      </c>
    </row>
    <row r="56" spans="1:17" s="148" customFormat="1" ht="48">
      <c r="A56" s="146"/>
      <c r="B56" s="146"/>
      <c r="C56" s="146"/>
      <c r="D56" s="146"/>
      <c r="E56" s="135" t="s">
        <v>1216</v>
      </c>
      <c r="F56" s="147">
        <f t="shared" si="12"/>
        <v>0</v>
      </c>
      <c r="G56" s="147"/>
      <c r="H56" s="147"/>
      <c r="I56" s="147"/>
      <c r="J56" s="147"/>
      <c r="K56" s="147">
        <f t="shared" si="13"/>
        <v>967006</v>
      </c>
      <c r="L56" s="147"/>
      <c r="M56" s="147"/>
      <c r="N56" s="147"/>
      <c r="O56" s="147">
        <f>P56</f>
        <v>967006</v>
      </c>
      <c r="P56" s="147">
        <f>3387876-2420870</f>
        <v>967006</v>
      </c>
      <c r="Q56" s="147">
        <f t="shared" si="14"/>
        <v>967006</v>
      </c>
    </row>
    <row r="57" spans="1:17" ht="61.5" customHeight="1">
      <c r="A57" s="50"/>
      <c r="B57" s="28"/>
      <c r="C57" s="28"/>
      <c r="D57" s="28"/>
      <c r="E57" s="135" t="s">
        <v>865</v>
      </c>
      <c r="F57" s="27">
        <f t="shared" si="12"/>
        <v>0</v>
      </c>
      <c r="G57" s="27">
        <f>689636-689636</f>
        <v>0</v>
      </c>
      <c r="H57" s="27"/>
      <c r="I57" s="27"/>
      <c r="J57" s="27"/>
      <c r="K57" s="27">
        <f t="shared" si="13"/>
        <v>10419636</v>
      </c>
      <c r="L57" s="27"/>
      <c r="M57" s="27"/>
      <c r="N57" s="27"/>
      <c r="O57" s="27">
        <f>P57</f>
        <v>10419636</v>
      </c>
      <c r="P57" s="27">
        <f>1800000+7930000+689636</f>
        <v>10419636</v>
      </c>
      <c r="Q57" s="27">
        <f t="shared" si="14"/>
        <v>10419636</v>
      </c>
    </row>
    <row r="58" spans="1:17" ht="25.5">
      <c r="A58" s="50">
        <v>1011030</v>
      </c>
      <c r="B58" s="28" t="s">
        <v>58</v>
      </c>
      <c r="C58" s="50" t="s">
        <v>596</v>
      </c>
      <c r="D58" s="50" t="s">
        <v>579</v>
      </c>
      <c r="E58" s="151" t="s">
        <v>185</v>
      </c>
      <c r="F58" s="27">
        <f t="shared" si="12"/>
        <v>14132925</v>
      </c>
      <c r="G58" s="27">
        <f>13803160+416694+2131-89060+99500-99500</f>
        <v>14132925</v>
      </c>
      <c r="H58" s="27">
        <f>10351875+341553-73000</f>
        <v>10620428</v>
      </c>
      <c r="I58" s="27">
        <v>1102242</v>
      </c>
      <c r="J58" s="27"/>
      <c r="K58" s="27">
        <f t="shared" si="13"/>
        <v>171000</v>
      </c>
      <c r="L58" s="27"/>
      <c r="M58" s="27"/>
      <c r="N58" s="27"/>
      <c r="O58" s="27">
        <f>P58</f>
        <v>171000</v>
      </c>
      <c r="P58" s="27">
        <f>20000+51500+99500</f>
        <v>171000</v>
      </c>
      <c r="Q58" s="27">
        <f t="shared" si="14"/>
        <v>14303925</v>
      </c>
    </row>
    <row r="59" spans="1:17" s="148" customFormat="1" ht="12.75">
      <c r="A59" s="152"/>
      <c r="B59" s="152"/>
      <c r="C59" s="152"/>
      <c r="D59" s="152"/>
      <c r="E59" s="135" t="s">
        <v>882</v>
      </c>
      <c r="F59" s="147">
        <f t="shared" si="12"/>
        <v>10709119</v>
      </c>
      <c r="G59" s="147">
        <f>10292424+416695</f>
        <v>10709119</v>
      </c>
      <c r="H59" s="147">
        <f>8436413+341553</f>
        <v>8777966</v>
      </c>
      <c r="I59" s="147"/>
      <c r="J59" s="147"/>
      <c r="K59" s="147">
        <f t="shared" si="13"/>
        <v>0</v>
      </c>
      <c r="L59" s="147"/>
      <c r="M59" s="147"/>
      <c r="N59" s="147"/>
      <c r="O59" s="147"/>
      <c r="P59" s="147"/>
      <c r="Q59" s="147">
        <f t="shared" si="14"/>
        <v>10709119</v>
      </c>
    </row>
    <row r="60" spans="1:17" ht="61.5" customHeight="1">
      <c r="A60" s="50"/>
      <c r="B60" s="28"/>
      <c r="C60" s="28"/>
      <c r="D60" s="28"/>
      <c r="E60" s="135" t="s">
        <v>865</v>
      </c>
      <c r="F60" s="27">
        <f>G60+J60</f>
        <v>0</v>
      </c>
      <c r="G60" s="27">
        <f>96602-96602</f>
        <v>0</v>
      </c>
      <c r="H60" s="27"/>
      <c r="I60" s="27"/>
      <c r="J60" s="27"/>
      <c r="K60" s="27">
        <f>L60+O60</f>
        <v>146602</v>
      </c>
      <c r="L60" s="27"/>
      <c r="M60" s="27"/>
      <c r="N60" s="27"/>
      <c r="O60" s="27">
        <f>P60</f>
        <v>146602</v>
      </c>
      <c r="P60" s="27">
        <f>50000+96602</f>
        <v>146602</v>
      </c>
      <c r="Q60" s="27">
        <f>F60+K60</f>
        <v>146602</v>
      </c>
    </row>
    <row r="61" spans="1:17" s="148" customFormat="1" ht="48" hidden="1">
      <c r="A61" s="146"/>
      <c r="B61" s="146"/>
      <c r="C61" s="146"/>
      <c r="D61" s="146"/>
      <c r="E61" s="135" t="s">
        <v>887</v>
      </c>
      <c r="F61" s="147">
        <f t="shared" si="12"/>
        <v>0</v>
      </c>
      <c r="G61" s="147"/>
      <c r="H61" s="147"/>
      <c r="I61" s="147"/>
      <c r="J61" s="147"/>
      <c r="K61" s="147">
        <f t="shared" si="13"/>
        <v>0</v>
      </c>
      <c r="L61" s="147"/>
      <c r="M61" s="147"/>
      <c r="N61" s="147"/>
      <c r="O61" s="147"/>
      <c r="P61" s="147"/>
      <c r="Q61" s="147">
        <f t="shared" si="14"/>
        <v>0</v>
      </c>
    </row>
    <row r="62" spans="1:17" s="2" customFormat="1" ht="89.25" customHeight="1">
      <c r="A62" s="6" t="s">
        <v>533</v>
      </c>
      <c r="B62" s="6" t="s">
        <v>59</v>
      </c>
      <c r="C62" s="6" t="s">
        <v>597</v>
      </c>
      <c r="D62" s="6" t="s">
        <v>580</v>
      </c>
      <c r="E62" s="153" t="s">
        <v>186</v>
      </c>
      <c r="F62" s="27">
        <f t="shared" si="12"/>
        <v>27038476</v>
      </c>
      <c r="G62" s="18">
        <f>12818738+617784+21645602-8043648</f>
        <v>27038476</v>
      </c>
      <c r="H62" s="18">
        <f>10111056+16092011-6258130</f>
        <v>19944937</v>
      </c>
      <c r="I62" s="18">
        <v>1101034</v>
      </c>
      <c r="J62" s="18"/>
      <c r="K62" s="27">
        <f t="shared" si="13"/>
        <v>1394711</v>
      </c>
      <c r="L62" s="18"/>
      <c r="M62" s="18"/>
      <c r="N62" s="18"/>
      <c r="O62" s="18">
        <f>P62</f>
        <v>1394711</v>
      </c>
      <c r="P62" s="18">
        <f>2894711-1500000</f>
        <v>1394711</v>
      </c>
      <c r="Q62" s="27">
        <f t="shared" si="14"/>
        <v>28433187</v>
      </c>
    </row>
    <row r="63" spans="1:17" s="143" customFormat="1" ht="12.75">
      <c r="A63" s="146"/>
      <c r="B63" s="146"/>
      <c r="C63" s="146"/>
      <c r="D63" s="146"/>
      <c r="E63" s="135" t="s">
        <v>881</v>
      </c>
      <c r="F63" s="147">
        <f t="shared" si="12"/>
        <v>12335488</v>
      </c>
      <c r="G63" s="142">
        <f>11717704+617784</f>
        <v>12335488</v>
      </c>
      <c r="H63" s="142">
        <f>9604675+506381</f>
        <v>10111056</v>
      </c>
      <c r="I63" s="142"/>
      <c r="J63" s="142"/>
      <c r="K63" s="27">
        <f t="shared" si="13"/>
        <v>0</v>
      </c>
      <c r="L63" s="142"/>
      <c r="M63" s="142"/>
      <c r="N63" s="142"/>
      <c r="O63" s="142"/>
      <c r="P63" s="142"/>
      <c r="Q63" s="147">
        <f t="shared" si="14"/>
        <v>12335488</v>
      </c>
    </row>
    <row r="64" spans="1:17" s="143" customFormat="1" ht="36">
      <c r="A64" s="146"/>
      <c r="B64" s="146"/>
      <c r="C64" s="146"/>
      <c r="D64" s="146"/>
      <c r="E64" s="135" t="s">
        <v>1207</v>
      </c>
      <c r="F64" s="147">
        <f>G64</f>
        <v>13601954</v>
      </c>
      <c r="G64" s="142">
        <f>21645602-8043648</f>
        <v>13601954</v>
      </c>
      <c r="H64" s="142">
        <f>16092011-6258130</f>
        <v>9833881</v>
      </c>
      <c r="I64" s="142"/>
      <c r="J64" s="142"/>
      <c r="K64" s="27">
        <f t="shared" si="13"/>
        <v>1394711</v>
      </c>
      <c r="L64" s="142"/>
      <c r="M64" s="142"/>
      <c r="N64" s="142"/>
      <c r="O64" s="142">
        <f>P64</f>
        <v>1394711</v>
      </c>
      <c r="P64" s="142">
        <f>2894711-1500000</f>
        <v>1394711</v>
      </c>
      <c r="Q64" s="147">
        <f t="shared" si="14"/>
        <v>14996665</v>
      </c>
    </row>
    <row r="65" spans="1:17" s="148" customFormat="1" ht="48" hidden="1">
      <c r="A65" s="146"/>
      <c r="B65" s="146"/>
      <c r="C65" s="146"/>
      <c r="D65" s="146"/>
      <c r="E65" s="135" t="s">
        <v>887</v>
      </c>
      <c r="F65" s="147">
        <f t="shared" si="12"/>
        <v>0</v>
      </c>
      <c r="G65" s="147"/>
      <c r="H65" s="147"/>
      <c r="I65" s="147"/>
      <c r="J65" s="147"/>
      <c r="K65" s="147">
        <f t="shared" si="13"/>
        <v>0</v>
      </c>
      <c r="L65" s="147"/>
      <c r="M65" s="147"/>
      <c r="N65" s="147"/>
      <c r="O65" s="147"/>
      <c r="P65" s="147"/>
      <c r="Q65" s="147">
        <f t="shared" si="14"/>
        <v>0</v>
      </c>
    </row>
    <row r="66" spans="1:17" ht="36.75" customHeight="1">
      <c r="A66" s="50" t="s">
        <v>534</v>
      </c>
      <c r="B66" s="28" t="s">
        <v>35</v>
      </c>
      <c r="C66" s="50" t="s">
        <v>598</v>
      </c>
      <c r="D66" s="50" t="s">
        <v>581</v>
      </c>
      <c r="E66" s="51" t="s">
        <v>187</v>
      </c>
      <c r="F66" s="27">
        <f t="shared" si="12"/>
        <v>56111104</v>
      </c>
      <c r="G66" s="27">
        <f>52526681+(129800)+(2500)+73600+(43700)+99856+(28400)+2968000+(4000)+(13360)+(7000)+7000+(42350)+(31000)+(25000)+5302-2345+(83900)+(7000)+(15000)</f>
        <v>56111104</v>
      </c>
      <c r="H66" s="27">
        <f>35714087+2400000</f>
        <v>38114087</v>
      </c>
      <c r="I66" s="27">
        <v>8219517</v>
      </c>
      <c r="J66" s="27"/>
      <c r="K66" s="27">
        <f t="shared" si="13"/>
        <v>1830122</v>
      </c>
      <c r="L66" s="27">
        <v>313304</v>
      </c>
      <c r="M66" s="27">
        <v>72397</v>
      </c>
      <c r="N66" s="27">
        <v>6630</v>
      </c>
      <c r="O66" s="27">
        <f>P66+17000</f>
        <v>1516818</v>
      </c>
      <c r="P66" s="27">
        <f>726958+(41000)+457320+(10000)+(30000)+(8000)+(10000)+(16540)+(25000)+23000+(10000)+(109000)+(20000)+(13000)</f>
        <v>1499818</v>
      </c>
      <c r="Q66" s="27">
        <f t="shared" si="14"/>
        <v>57941226</v>
      </c>
    </row>
    <row r="67" spans="1:17" ht="38.25">
      <c r="A67" s="50" t="s">
        <v>768</v>
      </c>
      <c r="B67" s="50" t="s">
        <v>766</v>
      </c>
      <c r="C67" s="50" t="s">
        <v>994</v>
      </c>
      <c r="D67" s="50" t="s">
        <v>767</v>
      </c>
      <c r="E67" s="51" t="s">
        <v>1178</v>
      </c>
      <c r="F67" s="27">
        <f t="shared" si="12"/>
        <v>176938382</v>
      </c>
      <c r="G67" s="27">
        <f>179681272+(108000)+(12500)+(41000)+(70000)-3195000+G71+(2210)-200000+(30000)</f>
        <v>176938382</v>
      </c>
      <c r="H67" s="27">
        <f>97354258-2669390</f>
        <v>94684868</v>
      </c>
      <c r="I67" s="27">
        <v>16972260</v>
      </c>
      <c r="J67" s="27"/>
      <c r="K67" s="27">
        <f t="shared" si="13"/>
        <v>12462690</v>
      </c>
      <c r="L67" s="27">
        <v>11410290</v>
      </c>
      <c r="M67" s="27">
        <v>3749822</v>
      </c>
      <c r="N67" s="27">
        <v>3556335</v>
      </c>
      <c r="O67" s="27">
        <f>P67+657010</f>
        <v>1052400</v>
      </c>
      <c r="P67" s="27">
        <f>(50000)+(7500)+(20000)+(21000)+P71+(16290)+(50000)+(20000)</f>
        <v>395390</v>
      </c>
      <c r="Q67" s="27">
        <f t="shared" si="14"/>
        <v>189401072</v>
      </c>
    </row>
    <row r="68" spans="1:17" s="148" customFormat="1" ht="12.75">
      <c r="A68" s="146"/>
      <c r="B68" s="146"/>
      <c r="C68" s="146"/>
      <c r="D68" s="146"/>
      <c r="E68" s="150" t="s">
        <v>781</v>
      </c>
      <c r="F68" s="147">
        <f t="shared" si="12"/>
        <v>16383145</v>
      </c>
      <c r="G68" s="147">
        <f>16590108-206963</f>
        <v>16383145</v>
      </c>
      <c r="H68" s="147">
        <f>13598449-169642</f>
        <v>13428807</v>
      </c>
      <c r="I68" s="147"/>
      <c r="J68" s="147"/>
      <c r="K68" s="27">
        <f t="shared" si="13"/>
        <v>0</v>
      </c>
      <c r="L68" s="147"/>
      <c r="M68" s="147"/>
      <c r="N68" s="147"/>
      <c r="O68" s="147"/>
      <c r="P68" s="147"/>
      <c r="Q68" s="147">
        <f t="shared" si="14"/>
        <v>16383145</v>
      </c>
    </row>
    <row r="69" spans="1:17" s="148" customFormat="1" ht="51" hidden="1">
      <c r="A69" s="146"/>
      <c r="B69" s="146"/>
      <c r="C69" s="146"/>
      <c r="D69" s="146"/>
      <c r="E69" s="150" t="s">
        <v>887</v>
      </c>
      <c r="F69" s="147">
        <f t="shared" si="12"/>
        <v>0</v>
      </c>
      <c r="G69" s="147"/>
      <c r="H69" s="147"/>
      <c r="I69" s="147"/>
      <c r="J69" s="147"/>
      <c r="K69" s="27">
        <f t="shared" si="13"/>
        <v>0</v>
      </c>
      <c r="L69" s="147"/>
      <c r="M69" s="147"/>
      <c r="N69" s="147"/>
      <c r="O69" s="147"/>
      <c r="P69" s="147"/>
      <c r="Q69" s="147">
        <f t="shared" si="14"/>
        <v>0</v>
      </c>
    </row>
    <row r="70" spans="1:17" s="148" customFormat="1" ht="51" hidden="1">
      <c r="A70" s="146"/>
      <c r="B70" s="146"/>
      <c r="C70" s="146"/>
      <c r="D70" s="146"/>
      <c r="E70" s="150" t="s">
        <v>782</v>
      </c>
      <c r="F70" s="147">
        <f t="shared" si="12"/>
        <v>0</v>
      </c>
      <c r="G70" s="147"/>
      <c r="H70" s="147"/>
      <c r="I70" s="147"/>
      <c r="J70" s="147"/>
      <c r="K70" s="27">
        <f t="shared" si="13"/>
        <v>0</v>
      </c>
      <c r="L70" s="147"/>
      <c r="M70" s="147"/>
      <c r="N70" s="147"/>
      <c r="O70" s="147"/>
      <c r="P70" s="147"/>
      <c r="Q70" s="147">
        <f t="shared" si="14"/>
        <v>0</v>
      </c>
    </row>
    <row r="71" spans="1:17" s="148" customFormat="1" ht="76.5">
      <c r="A71" s="146"/>
      <c r="B71" s="146"/>
      <c r="C71" s="146"/>
      <c r="D71" s="146"/>
      <c r="E71" s="150" t="s">
        <v>1213</v>
      </c>
      <c r="F71" s="147">
        <f>G71</f>
        <v>388400</v>
      </c>
      <c r="G71" s="147">
        <f>470876-82476</f>
        <v>388400</v>
      </c>
      <c r="H71" s="147"/>
      <c r="I71" s="147"/>
      <c r="J71" s="147"/>
      <c r="K71" s="27">
        <f t="shared" si="13"/>
        <v>210600</v>
      </c>
      <c r="L71" s="147"/>
      <c r="M71" s="147"/>
      <c r="N71" s="147"/>
      <c r="O71" s="147">
        <f>P71</f>
        <v>210600</v>
      </c>
      <c r="P71" s="147">
        <f>128124+82476</f>
        <v>210600</v>
      </c>
      <c r="Q71" s="147">
        <f t="shared" si="14"/>
        <v>599000</v>
      </c>
    </row>
    <row r="72" spans="1:17" ht="39.75" customHeight="1">
      <c r="A72" s="50" t="s">
        <v>188</v>
      </c>
      <c r="B72" s="28" t="s">
        <v>36</v>
      </c>
      <c r="C72" s="50" t="s">
        <v>995</v>
      </c>
      <c r="D72" s="50" t="s">
        <v>582</v>
      </c>
      <c r="E72" s="51" t="s">
        <v>189</v>
      </c>
      <c r="F72" s="27">
        <f t="shared" si="12"/>
        <v>6683938</v>
      </c>
      <c r="G72" s="27">
        <f>6125022+1600+557316</f>
        <v>6683938</v>
      </c>
      <c r="H72" s="27">
        <f>4668324+460179</f>
        <v>5128503</v>
      </c>
      <c r="I72" s="27">
        <v>206094</v>
      </c>
      <c r="J72" s="27"/>
      <c r="K72" s="27">
        <f t="shared" si="13"/>
        <v>0</v>
      </c>
      <c r="L72" s="27"/>
      <c r="M72" s="27"/>
      <c r="N72" s="27"/>
      <c r="O72" s="27"/>
      <c r="P72" s="27"/>
      <c r="Q72" s="27">
        <f t="shared" si="14"/>
        <v>6683938</v>
      </c>
    </row>
    <row r="73" spans="1:17" ht="54" customHeight="1">
      <c r="A73" s="50" t="s">
        <v>190</v>
      </c>
      <c r="B73" s="28" t="s">
        <v>118</v>
      </c>
      <c r="C73" s="50" t="s">
        <v>996</v>
      </c>
      <c r="D73" s="50" t="s">
        <v>582</v>
      </c>
      <c r="E73" s="48" t="s">
        <v>191</v>
      </c>
      <c r="F73" s="27">
        <f t="shared" si="12"/>
        <v>3095784</v>
      </c>
      <c r="G73" s="27">
        <f>3058544+28248+8992</f>
        <v>3095784</v>
      </c>
      <c r="H73" s="27">
        <v>2018924</v>
      </c>
      <c r="I73" s="27">
        <v>45647</v>
      </c>
      <c r="J73" s="27"/>
      <c r="K73" s="27">
        <f t="shared" si="13"/>
        <v>8456</v>
      </c>
      <c r="L73" s="27"/>
      <c r="M73" s="27"/>
      <c r="N73" s="27"/>
      <c r="O73" s="27">
        <f>P73</f>
        <v>8456</v>
      </c>
      <c r="P73" s="27">
        <v>8456</v>
      </c>
      <c r="Q73" s="27">
        <f t="shared" si="14"/>
        <v>3104240</v>
      </c>
    </row>
    <row r="74" spans="1:17" ht="25.5">
      <c r="A74" s="50" t="s">
        <v>192</v>
      </c>
      <c r="B74" s="28" t="s">
        <v>37</v>
      </c>
      <c r="C74" s="50" t="s">
        <v>997</v>
      </c>
      <c r="D74" s="50" t="s">
        <v>582</v>
      </c>
      <c r="E74" s="48" t="s">
        <v>193</v>
      </c>
      <c r="F74" s="27">
        <f t="shared" si="12"/>
        <v>20935692</v>
      </c>
      <c r="G74" s="27">
        <f>19464654+941779+34204+271168+223887</f>
        <v>20935692</v>
      </c>
      <c r="H74" s="27">
        <f>14123431+190000</f>
        <v>14313431</v>
      </c>
      <c r="I74" s="27">
        <v>1030592</v>
      </c>
      <c r="J74" s="27"/>
      <c r="K74" s="27">
        <f t="shared" si="13"/>
        <v>1557124</v>
      </c>
      <c r="L74" s="27">
        <v>37874</v>
      </c>
      <c r="M74" s="27"/>
      <c r="N74" s="27"/>
      <c r="O74" s="27">
        <f>P74</f>
        <v>1519250</v>
      </c>
      <c r="P74" s="27">
        <f>1508000+11250</f>
        <v>1519250</v>
      </c>
      <c r="Q74" s="27">
        <f t="shared" si="14"/>
        <v>22492816</v>
      </c>
    </row>
    <row r="75" spans="1:17" ht="25.5">
      <c r="A75" s="50" t="s">
        <v>194</v>
      </c>
      <c r="B75" s="28" t="s">
        <v>38</v>
      </c>
      <c r="C75" s="50" t="s">
        <v>998</v>
      </c>
      <c r="D75" s="50" t="s">
        <v>582</v>
      </c>
      <c r="E75" s="48" t="s">
        <v>195</v>
      </c>
      <c r="F75" s="27">
        <f t="shared" si="12"/>
        <v>7753528</v>
      </c>
      <c r="G75" s="27">
        <f>7392150+128158+223220+10000</f>
        <v>7753528</v>
      </c>
      <c r="H75" s="27">
        <f>4878552+105100</f>
        <v>4983652</v>
      </c>
      <c r="I75" s="27">
        <v>684988</v>
      </c>
      <c r="J75" s="27"/>
      <c r="K75" s="27">
        <f t="shared" si="13"/>
        <v>653761</v>
      </c>
      <c r="L75" s="27">
        <v>601261</v>
      </c>
      <c r="M75" s="27"/>
      <c r="N75" s="27"/>
      <c r="O75" s="27">
        <f>P75+52500</f>
        <v>52500</v>
      </c>
      <c r="P75" s="27"/>
      <c r="Q75" s="27">
        <f t="shared" si="14"/>
        <v>8407289</v>
      </c>
    </row>
    <row r="76" spans="1:17" ht="15.75" customHeight="1">
      <c r="A76" s="50" t="s">
        <v>196</v>
      </c>
      <c r="B76" s="50" t="s">
        <v>124</v>
      </c>
      <c r="C76" s="50" t="s">
        <v>999</v>
      </c>
      <c r="D76" s="50" t="s">
        <v>582</v>
      </c>
      <c r="E76" s="48" t="s">
        <v>197</v>
      </c>
      <c r="F76" s="27">
        <f t="shared" si="12"/>
        <v>7890474</v>
      </c>
      <c r="G76" s="27">
        <f>7180530-3756+713700</f>
        <v>7890474</v>
      </c>
      <c r="H76" s="27">
        <f>5256200+585000</f>
        <v>5841200</v>
      </c>
      <c r="I76" s="27">
        <v>723674</v>
      </c>
      <c r="J76" s="27"/>
      <c r="K76" s="27">
        <f t="shared" si="13"/>
        <v>395424</v>
      </c>
      <c r="L76" s="27"/>
      <c r="M76" s="27"/>
      <c r="N76" s="27"/>
      <c r="O76" s="27">
        <f>P76</f>
        <v>395424</v>
      </c>
      <c r="P76" s="27">
        <v>395424</v>
      </c>
      <c r="Q76" s="27">
        <f t="shared" si="14"/>
        <v>8285898</v>
      </c>
    </row>
    <row r="77" spans="1:17" ht="49.5" customHeight="1">
      <c r="A77" s="50" t="s">
        <v>535</v>
      </c>
      <c r="B77" s="28" t="s">
        <v>111</v>
      </c>
      <c r="C77" s="50" t="s">
        <v>1000</v>
      </c>
      <c r="D77" s="50" t="s">
        <v>582</v>
      </c>
      <c r="E77" s="48" t="s">
        <v>1210</v>
      </c>
      <c r="F77" s="27">
        <f t="shared" si="12"/>
        <v>231680</v>
      </c>
      <c r="G77" s="27">
        <f>114030+117650</f>
        <v>231680</v>
      </c>
      <c r="H77" s="27"/>
      <c r="I77" s="27"/>
      <c r="J77" s="27"/>
      <c r="K77" s="27">
        <f t="shared" si="13"/>
        <v>0</v>
      </c>
      <c r="L77" s="27"/>
      <c r="M77" s="27"/>
      <c r="N77" s="27"/>
      <c r="O77" s="27"/>
      <c r="P77" s="27"/>
      <c r="Q77" s="27">
        <f t="shared" si="14"/>
        <v>231680</v>
      </c>
    </row>
    <row r="78" spans="1:17" ht="23.25" customHeight="1">
      <c r="A78" s="112" t="s">
        <v>624</v>
      </c>
      <c r="B78" s="112" t="s">
        <v>623</v>
      </c>
      <c r="C78" s="112" t="s">
        <v>1104</v>
      </c>
      <c r="D78" s="112"/>
      <c r="E78" s="115" t="s">
        <v>625</v>
      </c>
      <c r="F78" s="27">
        <f t="shared" si="12"/>
        <v>10673413</v>
      </c>
      <c r="G78" s="114">
        <f>G79+G82+G83+G84</f>
        <v>10673413</v>
      </c>
      <c r="H78" s="114">
        <f>H79+H82+H83+H84</f>
        <v>51746</v>
      </c>
      <c r="I78" s="114">
        <f>I79+I82+I83+I84</f>
        <v>0</v>
      </c>
      <c r="J78" s="114">
        <f>J79+J82+J83+J84</f>
        <v>0</v>
      </c>
      <c r="K78" s="27">
        <f t="shared" si="13"/>
        <v>0</v>
      </c>
      <c r="L78" s="114">
        <f>L79+L82+L83+L84</f>
        <v>0</v>
      </c>
      <c r="M78" s="114">
        <f>M79+M82+M83+M84</f>
        <v>0</v>
      </c>
      <c r="N78" s="114">
        <f>N79+N82+N83+N84</f>
        <v>0</v>
      </c>
      <c r="O78" s="114">
        <f>O79+O82+O83+O84</f>
        <v>0</v>
      </c>
      <c r="P78" s="114">
        <f>P79+P82+P83+P84</f>
        <v>0</v>
      </c>
      <c r="Q78" s="27">
        <f t="shared" si="14"/>
        <v>10673413</v>
      </c>
    </row>
    <row r="79" spans="1:17" ht="30" customHeight="1" hidden="1">
      <c r="A79" s="50" t="s">
        <v>891</v>
      </c>
      <c r="B79" s="50"/>
      <c r="C79" s="50" t="s">
        <v>1001</v>
      </c>
      <c r="D79" s="50"/>
      <c r="E79" s="48" t="s">
        <v>892</v>
      </c>
      <c r="F79" s="27">
        <f t="shared" si="12"/>
        <v>0</v>
      </c>
      <c r="G79" s="27">
        <f>G80+G81</f>
        <v>0</v>
      </c>
      <c r="H79" s="27">
        <f>H80+H81</f>
        <v>0</v>
      </c>
      <c r="I79" s="27">
        <f>I80+I81</f>
        <v>0</v>
      </c>
      <c r="J79" s="27">
        <f>J80+J81</f>
        <v>0</v>
      </c>
      <c r="K79" s="27">
        <f t="shared" si="13"/>
        <v>0</v>
      </c>
      <c r="L79" s="27">
        <f>L80+L81</f>
        <v>0</v>
      </c>
      <c r="M79" s="27">
        <f>M80+M81</f>
        <v>0</v>
      </c>
      <c r="N79" s="27">
        <f>N80+N81</f>
        <v>0</v>
      </c>
      <c r="O79" s="27">
        <f>O80+O81</f>
        <v>0</v>
      </c>
      <c r="P79" s="27">
        <f>P80+P81</f>
        <v>0</v>
      </c>
      <c r="Q79" s="27">
        <f t="shared" si="14"/>
        <v>0</v>
      </c>
    </row>
    <row r="80" spans="1:17" ht="27.75" customHeight="1" hidden="1">
      <c r="A80" s="50" t="s">
        <v>379</v>
      </c>
      <c r="B80" s="28" t="s">
        <v>90</v>
      </c>
      <c r="C80" s="50" t="s">
        <v>1002</v>
      </c>
      <c r="D80" s="50" t="s">
        <v>583</v>
      </c>
      <c r="E80" s="48" t="s">
        <v>378</v>
      </c>
      <c r="F80" s="27">
        <f t="shared" si="12"/>
        <v>0</v>
      </c>
      <c r="G80" s="27"/>
      <c r="H80" s="27"/>
      <c r="I80" s="27"/>
      <c r="J80" s="27"/>
      <c r="K80" s="27">
        <f t="shared" si="13"/>
        <v>0</v>
      </c>
      <c r="L80" s="27"/>
      <c r="M80" s="27"/>
      <c r="N80" s="27"/>
      <c r="O80" s="27"/>
      <c r="P80" s="27"/>
      <c r="Q80" s="27">
        <f t="shared" si="14"/>
        <v>0</v>
      </c>
    </row>
    <row r="81" spans="1:17" ht="26.25" customHeight="1" hidden="1">
      <c r="A81" s="50" t="s">
        <v>380</v>
      </c>
      <c r="B81" s="28" t="s">
        <v>91</v>
      </c>
      <c r="C81" s="50" t="s">
        <v>1003</v>
      </c>
      <c r="D81" s="50" t="s">
        <v>583</v>
      </c>
      <c r="E81" s="48" t="s">
        <v>115</v>
      </c>
      <c r="F81" s="27">
        <f t="shared" si="12"/>
        <v>0</v>
      </c>
      <c r="G81" s="27"/>
      <c r="H81" s="27"/>
      <c r="I81" s="27"/>
      <c r="J81" s="27"/>
      <c r="K81" s="27">
        <f t="shared" si="13"/>
        <v>0</v>
      </c>
      <c r="L81" s="27"/>
      <c r="M81" s="27"/>
      <c r="N81" s="27"/>
      <c r="O81" s="27"/>
      <c r="P81" s="27"/>
      <c r="Q81" s="27">
        <f t="shared" si="14"/>
        <v>0</v>
      </c>
    </row>
    <row r="82" spans="1:17" ht="30" customHeight="1" hidden="1">
      <c r="A82" s="50" t="s">
        <v>381</v>
      </c>
      <c r="B82" s="28" t="s">
        <v>47</v>
      </c>
      <c r="C82" s="50" t="s">
        <v>1004</v>
      </c>
      <c r="D82" s="50" t="s">
        <v>583</v>
      </c>
      <c r="E82" s="48" t="s">
        <v>383</v>
      </c>
      <c r="F82" s="27">
        <f t="shared" si="12"/>
        <v>0</v>
      </c>
      <c r="G82" s="27"/>
      <c r="H82" s="27"/>
      <c r="I82" s="27"/>
      <c r="J82" s="27"/>
      <c r="K82" s="27">
        <f t="shared" si="13"/>
        <v>0</v>
      </c>
      <c r="L82" s="27"/>
      <c r="M82" s="27"/>
      <c r="N82" s="27"/>
      <c r="O82" s="27"/>
      <c r="P82" s="27"/>
      <c r="Q82" s="27">
        <f t="shared" si="14"/>
        <v>0</v>
      </c>
    </row>
    <row r="83" spans="1:17" ht="76.5">
      <c r="A83" s="50" t="s">
        <v>382</v>
      </c>
      <c r="B83" s="28" t="s">
        <v>96</v>
      </c>
      <c r="C83" s="50" t="s">
        <v>1005</v>
      </c>
      <c r="D83" s="50" t="s">
        <v>583</v>
      </c>
      <c r="E83" s="48" t="s">
        <v>198</v>
      </c>
      <c r="F83" s="27">
        <f t="shared" si="12"/>
        <v>10610283</v>
      </c>
      <c r="G83" s="27">
        <f>10746342-136059</f>
        <v>10610283</v>
      </c>
      <c r="H83" s="27"/>
      <c r="I83" s="27"/>
      <c r="J83" s="27"/>
      <c r="K83" s="27">
        <f t="shared" si="13"/>
        <v>0</v>
      </c>
      <c r="L83" s="27"/>
      <c r="M83" s="27"/>
      <c r="N83" s="27"/>
      <c r="O83" s="27"/>
      <c r="P83" s="27"/>
      <c r="Q83" s="27">
        <f t="shared" si="14"/>
        <v>10610283</v>
      </c>
    </row>
    <row r="84" spans="1:17" ht="24.75" customHeight="1">
      <c r="A84" s="50" t="s">
        <v>871</v>
      </c>
      <c r="B84" s="50" t="s">
        <v>784</v>
      </c>
      <c r="C84" s="50" t="s">
        <v>1006</v>
      </c>
      <c r="D84" s="50" t="s">
        <v>786</v>
      </c>
      <c r="E84" s="48" t="s">
        <v>785</v>
      </c>
      <c r="F84" s="27">
        <f>G84+J84</f>
        <v>63130</v>
      </c>
      <c r="G84" s="27">
        <v>63130</v>
      </c>
      <c r="H84" s="27">
        <v>51746</v>
      </c>
      <c r="I84" s="27"/>
      <c r="J84" s="27"/>
      <c r="K84" s="27">
        <f t="shared" si="13"/>
        <v>0</v>
      </c>
      <c r="L84" s="27"/>
      <c r="M84" s="27"/>
      <c r="N84" s="27"/>
      <c r="O84" s="27"/>
      <c r="P84" s="27"/>
      <c r="Q84" s="27">
        <f>F84+K84</f>
        <v>63130</v>
      </c>
    </row>
    <row r="85" spans="1:17" ht="12.75">
      <c r="A85" s="112" t="s">
        <v>629</v>
      </c>
      <c r="B85" s="112" t="s">
        <v>628</v>
      </c>
      <c r="C85" s="112" t="s">
        <v>1020</v>
      </c>
      <c r="D85" s="112"/>
      <c r="E85" s="115" t="s">
        <v>631</v>
      </c>
      <c r="F85" s="27">
        <f t="shared" si="12"/>
        <v>0</v>
      </c>
      <c r="G85" s="114">
        <f>G86+G88+G90+G91</f>
        <v>0</v>
      </c>
      <c r="H85" s="114">
        <f>H86+H88+H90+H91</f>
        <v>0</v>
      </c>
      <c r="I85" s="114">
        <f>I86+I88+I90+I91</f>
        <v>0</v>
      </c>
      <c r="J85" s="114">
        <f>J86+J88+J90+J91</f>
        <v>0</v>
      </c>
      <c r="K85" s="27">
        <f t="shared" si="13"/>
        <v>100119893</v>
      </c>
      <c r="L85" s="114">
        <f>L86+L88+L90+L91</f>
        <v>0</v>
      </c>
      <c r="M85" s="114">
        <f>M86+M88+M90+M91</f>
        <v>0</v>
      </c>
      <c r="N85" s="114">
        <f>N86+N88+N90+N91</f>
        <v>0</v>
      </c>
      <c r="O85" s="114">
        <f>O86+O88+O90+O91</f>
        <v>100119893</v>
      </c>
      <c r="P85" s="114">
        <f>P86+P88+P90+P91</f>
        <v>100119893</v>
      </c>
      <c r="Q85" s="27">
        <f t="shared" si="14"/>
        <v>100119893</v>
      </c>
    </row>
    <row r="86" spans="1:17" s="41" customFormat="1" ht="25.5">
      <c r="A86" s="50" t="s">
        <v>201</v>
      </c>
      <c r="B86" s="28" t="s">
        <v>87</v>
      </c>
      <c r="C86" s="50" t="s">
        <v>980</v>
      </c>
      <c r="D86" s="50" t="s">
        <v>576</v>
      </c>
      <c r="E86" s="48" t="s">
        <v>174</v>
      </c>
      <c r="F86" s="27">
        <f t="shared" si="12"/>
        <v>0</v>
      </c>
      <c r="G86" s="27"/>
      <c r="H86" s="27"/>
      <c r="I86" s="27"/>
      <c r="J86" s="27"/>
      <c r="K86" s="27">
        <f t="shared" si="13"/>
        <v>18558644</v>
      </c>
      <c r="L86" s="27"/>
      <c r="M86" s="27"/>
      <c r="N86" s="27"/>
      <c r="O86" s="27">
        <f>P86</f>
        <v>18558644</v>
      </c>
      <c r="P86" s="27">
        <f>15866982-890918+1110626+2471954</f>
        <v>18558644</v>
      </c>
      <c r="Q86" s="27">
        <f t="shared" si="14"/>
        <v>18558644</v>
      </c>
    </row>
    <row r="87" spans="1:17" s="149" customFormat="1" ht="60" hidden="1">
      <c r="A87" s="146"/>
      <c r="B87" s="146"/>
      <c r="C87" s="146"/>
      <c r="D87" s="146"/>
      <c r="E87" s="136" t="s">
        <v>865</v>
      </c>
      <c r="F87" s="147">
        <f t="shared" si="12"/>
        <v>0</v>
      </c>
      <c r="G87" s="147"/>
      <c r="H87" s="147"/>
      <c r="I87" s="147"/>
      <c r="J87" s="147"/>
      <c r="K87" s="147">
        <f t="shared" si="13"/>
        <v>0</v>
      </c>
      <c r="L87" s="147"/>
      <c r="M87" s="147"/>
      <c r="N87" s="147"/>
      <c r="O87" s="147"/>
      <c r="P87" s="147"/>
      <c r="Q87" s="147">
        <f t="shared" si="14"/>
        <v>0</v>
      </c>
    </row>
    <row r="88" spans="1:17" s="41" customFormat="1" ht="50.25" customHeight="1">
      <c r="A88" s="50" t="s">
        <v>750</v>
      </c>
      <c r="B88" s="50" t="s">
        <v>748</v>
      </c>
      <c r="C88" s="50" t="s">
        <v>1007</v>
      </c>
      <c r="D88" s="50" t="s">
        <v>579</v>
      </c>
      <c r="E88" s="48" t="s">
        <v>753</v>
      </c>
      <c r="F88" s="27">
        <f t="shared" si="12"/>
        <v>0</v>
      </c>
      <c r="G88" s="27"/>
      <c r="H88" s="27"/>
      <c r="I88" s="27"/>
      <c r="J88" s="27"/>
      <c r="K88" s="27">
        <f t="shared" si="13"/>
        <v>79213784</v>
      </c>
      <c r="L88" s="27"/>
      <c r="M88" s="27"/>
      <c r="N88" s="27"/>
      <c r="O88" s="27">
        <f>P88</f>
        <v>79213784</v>
      </c>
      <c r="P88" s="27">
        <f>56415567+787900-2173002+5969440+13090236+1518307+1187045+2418291</f>
        <v>79213784</v>
      </c>
      <c r="Q88" s="27">
        <f t="shared" si="14"/>
        <v>79213784</v>
      </c>
    </row>
    <row r="89" spans="1:17" s="41" customFormat="1" ht="50.25" customHeight="1">
      <c r="A89" s="50" t="s">
        <v>1234</v>
      </c>
      <c r="B89" s="50"/>
      <c r="C89" s="50"/>
      <c r="D89" s="50"/>
      <c r="E89" s="135" t="s">
        <v>1216</v>
      </c>
      <c r="F89" s="27"/>
      <c r="G89" s="27"/>
      <c r="H89" s="27"/>
      <c r="I89" s="27"/>
      <c r="J89" s="27"/>
      <c r="K89" s="27">
        <f t="shared" si="13"/>
        <v>2420870</v>
      </c>
      <c r="L89" s="27"/>
      <c r="M89" s="27"/>
      <c r="N89" s="27"/>
      <c r="O89" s="27">
        <f>P89</f>
        <v>2420870</v>
      </c>
      <c r="P89" s="27">
        <v>2420870</v>
      </c>
      <c r="Q89" s="27">
        <f t="shared" si="14"/>
        <v>2420870</v>
      </c>
    </row>
    <row r="90" spans="1:17" s="41" customFormat="1" ht="51" hidden="1">
      <c r="A90" s="50" t="s">
        <v>763</v>
      </c>
      <c r="B90" s="50" t="s">
        <v>762</v>
      </c>
      <c r="C90" s="50" t="s">
        <v>1008</v>
      </c>
      <c r="D90" s="50" t="s">
        <v>580</v>
      </c>
      <c r="E90" s="48" t="s">
        <v>764</v>
      </c>
      <c r="F90" s="27">
        <f t="shared" si="12"/>
        <v>0</v>
      </c>
      <c r="G90" s="27"/>
      <c r="H90" s="27"/>
      <c r="I90" s="27"/>
      <c r="J90" s="27"/>
      <c r="K90" s="27">
        <f t="shared" si="13"/>
        <v>0</v>
      </c>
      <c r="L90" s="27"/>
      <c r="M90" s="27"/>
      <c r="N90" s="27"/>
      <c r="O90" s="27">
        <f>P90</f>
        <v>0</v>
      </c>
      <c r="P90" s="27"/>
      <c r="Q90" s="27">
        <f t="shared" si="14"/>
        <v>0</v>
      </c>
    </row>
    <row r="91" spans="1:17" s="41" customFormat="1" ht="53.25" customHeight="1">
      <c r="A91" s="50" t="s">
        <v>751</v>
      </c>
      <c r="B91" s="50" t="s">
        <v>749</v>
      </c>
      <c r="C91" s="50" t="s">
        <v>1009</v>
      </c>
      <c r="D91" s="50" t="s">
        <v>581</v>
      </c>
      <c r="E91" s="48" t="s">
        <v>752</v>
      </c>
      <c r="F91" s="27">
        <f t="shared" si="12"/>
        <v>0</v>
      </c>
      <c r="G91" s="27"/>
      <c r="H91" s="27"/>
      <c r="I91" s="27"/>
      <c r="J91" s="27"/>
      <c r="K91" s="27">
        <f t="shared" si="13"/>
        <v>2347465</v>
      </c>
      <c r="L91" s="27"/>
      <c r="M91" s="27"/>
      <c r="N91" s="27"/>
      <c r="O91" s="27">
        <f>P91</f>
        <v>2347465</v>
      </c>
      <c r="P91" s="27">
        <f>980000+1367465</f>
        <v>2347465</v>
      </c>
      <c r="Q91" s="27">
        <f t="shared" si="14"/>
        <v>2347465</v>
      </c>
    </row>
    <row r="92" spans="1:17" s="41" customFormat="1" ht="25.5" hidden="1">
      <c r="A92" s="93" t="s">
        <v>502</v>
      </c>
      <c r="B92" s="93" t="s">
        <v>501</v>
      </c>
      <c r="C92" s="93" t="s">
        <v>1090</v>
      </c>
      <c r="D92" s="93"/>
      <c r="E92" s="100" t="s">
        <v>503</v>
      </c>
      <c r="F92" s="27">
        <f t="shared" si="12"/>
        <v>0</v>
      </c>
      <c r="G92" s="88">
        <f>G93</f>
        <v>0</v>
      </c>
      <c r="H92" s="88">
        <f>H93</f>
        <v>0</v>
      </c>
      <c r="I92" s="88">
        <f>I93</f>
        <v>0</v>
      </c>
      <c r="J92" s="88">
        <f>J93</f>
        <v>0</v>
      </c>
      <c r="K92" s="27">
        <f t="shared" si="13"/>
        <v>0</v>
      </c>
      <c r="L92" s="88">
        <f>L93</f>
        <v>0</v>
      </c>
      <c r="M92" s="88">
        <f>M93</f>
        <v>0</v>
      </c>
      <c r="N92" s="88">
        <f>N93</f>
        <v>0</v>
      </c>
      <c r="O92" s="88">
        <f>O93</f>
        <v>0</v>
      </c>
      <c r="P92" s="88">
        <f>P93</f>
        <v>0</v>
      </c>
      <c r="Q92" s="27">
        <f t="shared" si="14"/>
        <v>0</v>
      </c>
    </row>
    <row r="93" spans="1:17" s="41" customFormat="1" ht="12.75" hidden="1">
      <c r="A93" s="59" t="s">
        <v>504</v>
      </c>
      <c r="B93" s="59" t="s">
        <v>501</v>
      </c>
      <c r="C93" s="59" t="s">
        <v>1010</v>
      </c>
      <c r="D93" s="59" t="s">
        <v>585</v>
      </c>
      <c r="E93" s="83" t="s">
        <v>505</v>
      </c>
      <c r="F93" s="27">
        <f t="shared" si="12"/>
        <v>0</v>
      </c>
      <c r="G93" s="27"/>
      <c r="H93" s="27"/>
      <c r="I93" s="27"/>
      <c r="J93" s="27"/>
      <c r="K93" s="27">
        <f t="shared" si="13"/>
        <v>0</v>
      </c>
      <c r="L93" s="27"/>
      <c r="M93" s="27"/>
      <c r="N93" s="27"/>
      <c r="O93" s="27"/>
      <c r="P93" s="27"/>
      <c r="Q93" s="27">
        <f t="shared" si="14"/>
        <v>0</v>
      </c>
    </row>
    <row r="94" spans="1:17" s="41" customFormat="1" ht="12.75" hidden="1">
      <c r="A94" s="104" t="s">
        <v>536</v>
      </c>
      <c r="B94" s="104" t="s">
        <v>527</v>
      </c>
      <c r="C94" s="104" t="s">
        <v>1011</v>
      </c>
      <c r="D94" s="104"/>
      <c r="E94" s="154" t="s">
        <v>528</v>
      </c>
      <c r="F94" s="27">
        <f t="shared" si="12"/>
        <v>0</v>
      </c>
      <c r="G94" s="105">
        <f>G95</f>
        <v>0</v>
      </c>
      <c r="H94" s="105">
        <f>H95</f>
        <v>0</v>
      </c>
      <c r="I94" s="105">
        <f>I95</f>
        <v>0</v>
      </c>
      <c r="J94" s="105">
        <f>J95</f>
        <v>0</v>
      </c>
      <c r="K94" s="27">
        <f t="shared" si="13"/>
        <v>0</v>
      </c>
      <c r="L94" s="105">
        <f>L95</f>
        <v>0</v>
      </c>
      <c r="M94" s="105">
        <f>M95</f>
        <v>0</v>
      </c>
      <c r="N94" s="105">
        <f>N95</f>
        <v>0</v>
      </c>
      <c r="O94" s="105">
        <f>O95</f>
        <v>0</v>
      </c>
      <c r="P94" s="105">
        <f>P95</f>
        <v>0</v>
      </c>
      <c r="Q94" s="27">
        <f t="shared" si="14"/>
        <v>0</v>
      </c>
    </row>
    <row r="95" spans="1:17" s="41" customFormat="1" ht="12.75" hidden="1">
      <c r="A95" s="59" t="s">
        <v>566</v>
      </c>
      <c r="B95" s="59" t="s">
        <v>527</v>
      </c>
      <c r="C95" s="59" t="s">
        <v>1012</v>
      </c>
      <c r="D95" s="59" t="s">
        <v>586</v>
      </c>
      <c r="E95" s="83" t="s">
        <v>568</v>
      </c>
      <c r="F95" s="27">
        <f t="shared" si="12"/>
        <v>0</v>
      </c>
      <c r="G95" s="27"/>
      <c r="H95" s="27"/>
      <c r="I95" s="27"/>
      <c r="J95" s="27"/>
      <c r="K95" s="27">
        <f t="shared" si="13"/>
        <v>0</v>
      </c>
      <c r="L95" s="27"/>
      <c r="M95" s="27"/>
      <c r="N95" s="27"/>
      <c r="O95" s="27"/>
      <c r="P95" s="27"/>
      <c r="Q95" s="27">
        <f t="shared" si="14"/>
        <v>0</v>
      </c>
    </row>
    <row r="96" spans="1:17" ht="25.5" hidden="1">
      <c r="A96" s="112" t="s">
        <v>633</v>
      </c>
      <c r="B96" s="112" t="s">
        <v>634</v>
      </c>
      <c r="C96" s="112" t="s">
        <v>1021</v>
      </c>
      <c r="D96" s="112"/>
      <c r="E96" s="115" t="s">
        <v>635</v>
      </c>
      <c r="F96" s="27">
        <f t="shared" si="12"/>
        <v>0</v>
      </c>
      <c r="G96" s="114">
        <f>G97</f>
        <v>0</v>
      </c>
      <c r="H96" s="114">
        <f aca="true" t="shared" si="15" ref="H96:J97">H97</f>
        <v>0</v>
      </c>
      <c r="I96" s="114">
        <f t="shared" si="15"/>
        <v>0</v>
      </c>
      <c r="J96" s="114">
        <f t="shared" si="15"/>
        <v>0</v>
      </c>
      <c r="K96" s="27">
        <f t="shared" si="13"/>
        <v>0</v>
      </c>
      <c r="L96" s="114">
        <f aca="true" t="shared" si="16" ref="L96:P97">L97</f>
        <v>0</v>
      </c>
      <c r="M96" s="114">
        <f t="shared" si="16"/>
        <v>0</v>
      </c>
      <c r="N96" s="114">
        <f t="shared" si="16"/>
        <v>0</v>
      </c>
      <c r="O96" s="114">
        <f t="shared" si="16"/>
        <v>0</v>
      </c>
      <c r="P96" s="114">
        <f t="shared" si="16"/>
        <v>0</v>
      </c>
      <c r="Q96" s="27">
        <f t="shared" si="14"/>
        <v>0</v>
      </c>
    </row>
    <row r="97" spans="1:17" ht="51" hidden="1">
      <c r="A97" s="50" t="s">
        <v>893</v>
      </c>
      <c r="B97" s="112"/>
      <c r="C97" s="112" t="s">
        <v>1013</v>
      </c>
      <c r="D97" s="112"/>
      <c r="E97" s="115" t="s">
        <v>894</v>
      </c>
      <c r="F97" s="27"/>
      <c r="G97" s="114">
        <f>G98</f>
        <v>0</v>
      </c>
      <c r="H97" s="114">
        <f t="shared" si="15"/>
        <v>0</v>
      </c>
      <c r="I97" s="114">
        <f t="shared" si="15"/>
        <v>0</v>
      </c>
      <c r="J97" s="114">
        <f t="shared" si="15"/>
        <v>0</v>
      </c>
      <c r="K97" s="27">
        <f t="shared" si="13"/>
        <v>0</v>
      </c>
      <c r="L97" s="114">
        <f t="shared" si="16"/>
        <v>0</v>
      </c>
      <c r="M97" s="114">
        <f t="shared" si="16"/>
        <v>0</v>
      </c>
      <c r="N97" s="114">
        <f t="shared" si="16"/>
        <v>0</v>
      </c>
      <c r="O97" s="114">
        <f t="shared" si="16"/>
        <v>0</v>
      </c>
      <c r="P97" s="114">
        <f t="shared" si="16"/>
        <v>0</v>
      </c>
      <c r="Q97" s="27"/>
    </row>
    <row r="98" spans="1:17" ht="63.75" hidden="1">
      <c r="A98" s="50" t="s">
        <v>560</v>
      </c>
      <c r="B98" s="50" t="s">
        <v>488</v>
      </c>
      <c r="C98" s="50" t="s">
        <v>1014</v>
      </c>
      <c r="D98" s="50" t="s">
        <v>588</v>
      </c>
      <c r="E98" s="79" t="s">
        <v>489</v>
      </c>
      <c r="F98" s="27">
        <f t="shared" si="12"/>
        <v>0</v>
      </c>
      <c r="G98" s="27"/>
      <c r="H98" s="27"/>
      <c r="I98" s="27"/>
      <c r="J98" s="27"/>
      <c r="K98" s="27">
        <f t="shared" si="13"/>
        <v>0</v>
      </c>
      <c r="L98" s="27"/>
      <c r="M98" s="27"/>
      <c r="N98" s="27"/>
      <c r="O98" s="27"/>
      <c r="P98" s="27"/>
      <c r="Q98" s="27">
        <f t="shared" si="14"/>
        <v>0</v>
      </c>
    </row>
    <row r="99" spans="1:17" s="41" customFormat="1" ht="12.75">
      <c r="A99" s="112" t="s">
        <v>632</v>
      </c>
      <c r="B99" s="111" t="s">
        <v>98</v>
      </c>
      <c r="C99" s="111" t="s">
        <v>1015</v>
      </c>
      <c r="D99" s="111"/>
      <c r="E99" s="122" t="s">
        <v>99</v>
      </c>
      <c r="F99" s="27">
        <f aca="true" t="shared" si="17" ref="F99:F104">G99+J99</f>
        <v>0</v>
      </c>
      <c r="G99" s="114">
        <f>G100+G101</f>
        <v>0</v>
      </c>
      <c r="H99" s="114">
        <f>H100+H101</f>
        <v>0</v>
      </c>
      <c r="I99" s="114">
        <f>I100+I101</f>
        <v>0</v>
      </c>
      <c r="J99" s="114">
        <f>J100+J101</f>
        <v>0</v>
      </c>
      <c r="K99" s="27">
        <f aca="true" t="shared" si="18" ref="K99:K104">L99+O99</f>
        <v>10835222</v>
      </c>
      <c r="L99" s="114">
        <f>L100+L101</f>
        <v>35000</v>
      </c>
      <c r="M99" s="114">
        <f>M100+M101</f>
        <v>0</v>
      </c>
      <c r="N99" s="114">
        <f>N100+N101</f>
        <v>0</v>
      </c>
      <c r="O99" s="114">
        <f>O100+O101</f>
        <v>10800222</v>
      </c>
      <c r="P99" s="114">
        <f>P100+P101</f>
        <v>0</v>
      </c>
      <c r="Q99" s="27">
        <f>F99+K99</f>
        <v>10835222</v>
      </c>
    </row>
    <row r="100" spans="1:17" ht="24.75" customHeight="1">
      <c r="A100" s="50" t="s">
        <v>202</v>
      </c>
      <c r="B100" s="28" t="s">
        <v>86</v>
      </c>
      <c r="C100" s="50" t="s">
        <v>1016</v>
      </c>
      <c r="D100" s="50" t="s">
        <v>587</v>
      </c>
      <c r="E100" s="48" t="s">
        <v>93</v>
      </c>
      <c r="F100" s="27">
        <f t="shared" si="17"/>
        <v>0</v>
      </c>
      <c r="G100" s="27"/>
      <c r="H100" s="27"/>
      <c r="I100" s="27"/>
      <c r="J100" s="27"/>
      <c r="K100" s="27">
        <f t="shared" si="18"/>
        <v>5619663</v>
      </c>
      <c r="L100" s="27">
        <v>35000</v>
      </c>
      <c r="M100" s="27"/>
      <c r="N100" s="27"/>
      <c r="O100" s="27">
        <f>1165411+7000+987252+25000+(3400000)</f>
        <v>5584663</v>
      </c>
      <c r="P100" s="27"/>
      <c r="Q100" s="27">
        <f>F100+K100</f>
        <v>5619663</v>
      </c>
    </row>
    <row r="101" spans="1:17" ht="53.25" customHeight="1">
      <c r="A101" s="93" t="s">
        <v>856</v>
      </c>
      <c r="B101" s="85" t="s">
        <v>53</v>
      </c>
      <c r="C101" s="85" t="s">
        <v>992</v>
      </c>
      <c r="D101" s="85"/>
      <c r="E101" s="87" t="s">
        <v>431</v>
      </c>
      <c r="F101" s="87">
        <f t="shared" si="17"/>
        <v>0</v>
      </c>
      <c r="G101" s="87">
        <f>G102</f>
        <v>0</v>
      </c>
      <c r="H101" s="87">
        <f>H102</f>
        <v>0</v>
      </c>
      <c r="I101" s="87">
        <f>I102</f>
        <v>0</v>
      </c>
      <c r="J101" s="87">
        <f>J102</f>
        <v>0</v>
      </c>
      <c r="K101" s="87">
        <f t="shared" si="18"/>
        <v>5215559</v>
      </c>
      <c r="L101" s="87">
        <f>L102</f>
        <v>0</v>
      </c>
      <c r="M101" s="87">
        <f>M102</f>
        <v>0</v>
      </c>
      <c r="N101" s="87">
        <f>N102</f>
        <v>0</v>
      </c>
      <c r="O101" s="87">
        <v>5215559</v>
      </c>
      <c r="P101" s="87">
        <f>P102</f>
        <v>0</v>
      </c>
      <c r="Q101" s="87">
        <f>F101+K101</f>
        <v>5215559</v>
      </c>
    </row>
    <row r="102" spans="1:17" s="190" customFormat="1" ht="25.5" hidden="1">
      <c r="A102" s="187" t="s">
        <v>857</v>
      </c>
      <c r="B102" s="187" t="s">
        <v>53</v>
      </c>
      <c r="C102" s="187" t="s">
        <v>993</v>
      </c>
      <c r="D102" s="187" t="s">
        <v>577</v>
      </c>
      <c r="E102" s="188" t="s">
        <v>175</v>
      </c>
      <c r="F102" s="189">
        <f t="shared" si="17"/>
        <v>0</v>
      </c>
      <c r="G102" s="189"/>
      <c r="H102" s="189"/>
      <c r="I102" s="189"/>
      <c r="J102" s="189"/>
      <c r="K102" s="189">
        <f t="shared" si="18"/>
        <v>5215559</v>
      </c>
      <c r="L102" s="189"/>
      <c r="M102" s="189"/>
      <c r="N102" s="189"/>
      <c r="O102" s="189">
        <v>5215559</v>
      </c>
      <c r="P102" s="189"/>
      <c r="Q102" s="189">
        <f>F102+K102</f>
        <v>5215559</v>
      </c>
    </row>
    <row r="103" spans="1:18" ht="25.5">
      <c r="A103" s="62" t="s">
        <v>836</v>
      </c>
      <c r="B103" s="62" t="s">
        <v>835</v>
      </c>
      <c r="C103" s="62" t="s">
        <v>835</v>
      </c>
      <c r="D103" s="62"/>
      <c r="E103" s="61" t="s">
        <v>796</v>
      </c>
      <c r="F103" s="39">
        <f t="shared" si="17"/>
        <v>71295625</v>
      </c>
      <c r="G103" s="39">
        <f>G104</f>
        <v>71295625</v>
      </c>
      <c r="H103" s="39">
        <f>H104</f>
        <v>33299131</v>
      </c>
      <c r="I103" s="39">
        <f>I104</f>
        <v>3724288</v>
      </c>
      <c r="J103" s="39">
        <f>J104</f>
        <v>0</v>
      </c>
      <c r="K103" s="39">
        <f t="shared" si="18"/>
        <v>15352769</v>
      </c>
      <c r="L103" s="39">
        <f>L104</f>
        <v>982626</v>
      </c>
      <c r="M103" s="39">
        <f>M104</f>
        <v>267946</v>
      </c>
      <c r="N103" s="39">
        <f>N104</f>
        <v>135279</v>
      </c>
      <c r="O103" s="39">
        <f>O104</f>
        <v>14370143</v>
      </c>
      <c r="P103" s="39">
        <f>P104</f>
        <v>14370143</v>
      </c>
      <c r="Q103" s="39">
        <f t="shared" si="14"/>
        <v>86648394</v>
      </c>
      <c r="R103" s="164"/>
    </row>
    <row r="104" spans="1:17" ht="25.5">
      <c r="A104" s="59" t="s">
        <v>837</v>
      </c>
      <c r="B104" s="31"/>
      <c r="C104" s="31"/>
      <c r="D104" s="31"/>
      <c r="E104" s="51" t="s">
        <v>796</v>
      </c>
      <c r="F104" s="26">
        <f t="shared" si="17"/>
        <v>71295625</v>
      </c>
      <c r="G104" s="26">
        <f>G105+G107+G112+G124+G126</f>
        <v>71295625</v>
      </c>
      <c r="H104" s="26">
        <f>H105+H107+H112+H124+H126</f>
        <v>33299131</v>
      </c>
      <c r="I104" s="26">
        <f>I105+I107+I112+I124+I126</f>
        <v>3724288</v>
      </c>
      <c r="J104" s="26">
        <f>J105+J107+J112+J124+J126</f>
        <v>0</v>
      </c>
      <c r="K104" s="26">
        <f t="shared" si="18"/>
        <v>15352769</v>
      </c>
      <c r="L104" s="26">
        <f>L105+L107+L112+L124+L126</f>
        <v>982626</v>
      </c>
      <c r="M104" s="26">
        <f>M105+M107+M112+M124+M126</f>
        <v>267946</v>
      </c>
      <c r="N104" s="26">
        <f>N105+N107+N112+N124+N126</f>
        <v>135279</v>
      </c>
      <c r="O104" s="26">
        <f>O105+O107+O112+O124+O126</f>
        <v>14370143</v>
      </c>
      <c r="P104" s="26">
        <f>P105+P107+P112+P124+P126</f>
        <v>14370143</v>
      </c>
      <c r="Q104" s="26">
        <f>F104+K104</f>
        <v>86648394</v>
      </c>
    </row>
    <row r="105" spans="1:17" ht="12.75">
      <c r="A105" s="112" t="s">
        <v>838</v>
      </c>
      <c r="B105" s="111" t="s">
        <v>671</v>
      </c>
      <c r="C105" s="111" t="s">
        <v>972</v>
      </c>
      <c r="D105" s="111"/>
      <c r="E105" s="127" t="s">
        <v>673</v>
      </c>
      <c r="F105" s="26">
        <f aca="true" t="shared" si="19" ref="F105:F128">G105+J105</f>
        <v>3043332</v>
      </c>
      <c r="G105" s="123">
        <f>G106</f>
        <v>3043332</v>
      </c>
      <c r="H105" s="123">
        <f>H106</f>
        <v>2306509</v>
      </c>
      <c r="I105" s="123">
        <f>I106</f>
        <v>68229</v>
      </c>
      <c r="J105" s="123">
        <f>J106</f>
        <v>0</v>
      </c>
      <c r="K105" s="26">
        <f aca="true" t="shared" si="20" ref="K105:K128">L105+O105</f>
        <v>0</v>
      </c>
      <c r="L105" s="123">
        <f>L106</f>
        <v>0</v>
      </c>
      <c r="M105" s="123">
        <f>M106</f>
        <v>0</v>
      </c>
      <c r="N105" s="123">
        <f>N106</f>
        <v>0</v>
      </c>
      <c r="O105" s="123">
        <f>O106</f>
        <v>0</v>
      </c>
      <c r="P105" s="123">
        <f>P106</f>
        <v>0</v>
      </c>
      <c r="Q105" s="26">
        <f aca="true" t="shared" si="21" ref="Q105:Q128">F105+K105</f>
        <v>3043332</v>
      </c>
    </row>
    <row r="106" spans="1:17" ht="25.5">
      <c r="A106" s="50" t="s">
        <v>839</v>
      </c>
      <c r="B106" s="28" t="s">
        <v>33</v>
      </c>
      <c r="C106" s="50" t="s">
        <v>613</v>
      </c>
      <c r="D106" s="50" t="s">
        <v>574</v>
      </c>
      <c r="E106" s="51" t="s">
        <v>889</v>
      </c>
      <c r="F106" s="26">
        <f t="shared" si="19"/>
        <v>3043332</v>
      </c>
      <c r="G106" s="27">
        <f>2429531+606787+7014</f>
        <v>3043332</v>
      </c>
      <c r="H106" s="27">
        <f>1803531+497229+5749</f>
        <v>2306509</v>
      </c>
      <c r="I106" s="27">
        <v>68229</v>
      </c>
      <c r="J106" s="27"/>
      <c r="K106" s="26">
        <f t="shared" si="20"/>
        <v>0</v>
      </c>
      <c r="L106" s="27"/>
      <c r="M106" s="27"/>
      <c r="N106" s="27"/>
      <c r="O106" s="27"/>
      <c r="P106" s="27"/>
      <c r="Q106" s="26">
        <f t="shared" si="21"/>
        <v>3043332</v>
      </c>
    </row>
    <row r="107" spans="1:17" ht="25.5">
      <c r="A107" s="112" t="s">
        <v>840</v>
      </c>
      <c r="B107" s="112" t="s">
        <v>623</v>
      </c>
      <c r="C107" s="112" t="s">
        <v>1104</v>
      </c>
      <c r="D107" s="112"/>
      <c r="E107" s="115" t="s">
        <v>625</v>
      </c>
      <c r="F107" s="26">
        <f>G107+J107</f>
        <v>3716232</v>
      </c>
      <c r="G107" s="27">
        <f>G108+G110</f>
        <v>3716232</v>
      </c>
      <c r="H107" s="27">
        <f aca="true" t="shared" si="22" ref="H107:P107">H108+H110</f>
        <v>0</v>
      </c>
      <c r="I107" s="27">
        <f t="shared" si="22"/>
        <v>0</v>
      </c>
      <c r="J107" s="27">
        <f t="shared" si="22"/>
        <v>0</v>
      </c>
      <c r="K107" s="27">
        <f t="shared" si="22"/>
        <v>0</v>
      </c>
      <c r="L107" s="27">
        <f t="shared" si="22"/>
        <v>0</v>
      </c>
      <c r="M107" s="27">
        <f t="shared" si="22"/>
        <v>0</v>
      </c>
      <c r="N107" s="27">
        <f t="shared" si="22"/>
        <v>0</v>
      </c>
      <c r="O107" s="27">
        <f t="shared" si="22"/>
        <v>0</v>
      </c>
      <c r="P107" s="27">
        <f t="shared" si="22"/>
        <v>0</v>
      </c>
      <c r="Q107" s="26">
        <f>F107+K107</f>
        <v>3716232</v>
      </c>
    </row>
    <row r="108" spans="1:17" ht="25.5">
      <c r="A108" s="50" t="s">
        <v>841</v>
      </c>
      <c r="B108" s="28" t="s">
        <v>47</v>
      </c>
      <c r="C108" s="50" t="s">
        <v>1004</v>
      </c>
      <c r="D108" s="50" t="s">
        <v>583</v>
      </c>
      <c r="E108" s="48" t="s">
        <v>1181</v>
      </c>
      <c r="F108" s="26">
        <f t="shared" si="19"/>
        <v>1640155</v>
      </c>
      <c r="G108" s="27">
        <f>G109</f>
        <v>1640155</v>
      </c>
      <c r="H108" s="27"/>
      <c r="I108" s="27"/>
      <c r="J108" s="27"/>
      <c r="K108" s="26">
        <f t="shared" si="20"/>
        <v>0</v>
      </c>
      <c r="L108" s="27"/>
      <c r="M108" s="27"/>
      <c r="N108" s="27"/>
      <c r="O108" s="27"/>
      <c r="P108" s="27"/>
      <c r="Q108" s="26">
        <f t="shared" si="21"/>
        <v>1640155</v>
      </c>
    </row>
    <row r="109" spans="1:17" ht="51">
      <c r="A109" s="50" t="s">
        <v>1198</v>
      </c>
      <c r="B109" s="28"/>
      <c r="C109" s="50" t="s">
        <v>1199</v>
      </c>
      <c r="D109" s="50" t="s">
        <v>583</v>
      </c>
      <c r="E109" s="48" t="s">
        <v>1200</v>
      </c>
      <c r="F109" s="26">
        <f>G109</f>
        <v>1640155</v>
      </c>
      <c r="G109" s="27">
        <f>1690555-50400</f>
        <v>1640155</v>
      </c>
      <c r="H109" s="27"/>
      <c r="I109" s="27"/>
      <c r="J109" s="27"/>
      <c r="K109" s="26"/>
      <c r="L109" s="27"/>
      <c r="M109" s="27"/>
      <c r="N109" s="27"/>
      <c r="O109" s="27"/>
      <c r="P109" s="27"/>
      <c r="Q109" s="26">
        <f t="shared" si="21"/>
        <v>1640155</v>
      </c>
    </row>
    <row r="110" spans="1:17" ht="25.5">
      <c r="A110" s="50" t="s">
        <v>1141</v>
      </c>
      <c r="B110" s="28"/>
      <c r="C110" s="50" t="s">
        <v>1074</v>
      </c>
      <c r="D110" s="50" t="s">
        <v>598</v>
      </c>
      <c r="E110" s="48" t="s">
        <v>326</v>
      </c>
      <c r="F110" s="26">
        <f t="shared" si="19"/>
        <v>2076077</v>
      </c>
      <c r="G110" s="27">
        <f aca="true" t="shared" si="23" ref="G110:P110">G111</f>
        <v>2076077</v>
      </c>
      <c r="H110" s="27">
        <f t="shared" si="23"/>
        <v>0</v>
      </c>
      <c r="I110" s="27">
        <f t="shared" si="23"/>
        <v>0</v>
      </c>
      <c r="J110" s="27">
        <f t="shared" si="23"/>
        <v>0</v>
      </c>
      <c r="K110" s="27">
        <f t="shared" si="23"/>
        <v>0</v>
      </c>
      <c r="L110" s="27">
        <f t="shared" si="23"/>
        <v>0</v>
      </c>
      <c r="M110" s="27">
        <f t="shared" si="23"/>
        <v>0</v>
      </c>
      <c r="N110" s="27">
        <f t="shared" si="23"/>
        <v>0</v>
      </c>
      <c r="O110" s="27">
        <f t="shared" si="23"/>
        <v>0</v>
      </c>
      <c r="P110" s="27">
        <f t="shared" si="23"/>
        <v>0</v>
      </c>
      <c r="Q110" s="26">
        <f t="shared" si="21"/>
        <v>2076077</v>
      </c>
    </row>
    <row r="111" spans="1:17" s="169" customFormat="1" ht="38.25" hidden="1">
      <c r="A111" s="170" t="s">
        <v>1142</v>
      </c>
      <c r="B111" s="170" t="s">
        <v>46</v>
      </c>
      <c r="C111" s="170" t="s">
        <v>1075</v>
      </c>
      <c r="D111" s="170" t="s">
        <v>598</v>
      </c>
      <c r="E111" s="172" t="s">
        <v>490</v>
      </c>
      <c r="F111" s="173">
        <f t="shared" si="19"/>
        <v>2076077</v>
      </c>
      <c r="G111" s="173">
        <f>2025677+50400</f>
        <v>2076077</v>
      </c>
      <c r="H111" s="173"/>
      <c r="I111" s="173"/>
      <c r="J111" s="173"/>
      <c r="K111" s="173"/>
      <c r="L111" s="173"/>
      <c r="M111" s="173"/>
      <c r="N111" s="173"/>
      <c r="O111" s="173"/>
      <c r="P111" s="173"/>
      <c r="Q111" s="173">
        <f t="shared" si="21"/>
        <v>2076077</v>
      </c>
    </row>
    <row r="112" spans="1:17" ht="12.75">
      <c r="A112" s="112" t="s">
        <v>842</v>
      </c>
      <c r="B112" s="50" t="s">
        <v>626</v>
      </c>
      <c r="C112" s="50" t="s">
        <v>1135</v>
      </c>
      <c r="D112" s="50"/>
      <c r="E112" s="115" t="s">
        <v>627</v>
      </c>
      <c r="F112" s="26">
        <f t="shared" si="19"/>
        <v>64386061</v>
      </c>
      <c r="G112" s="27">
        <f>G113+G116+G118+G120</f>
        <v>64386061</v>
      </c>
      <c r="H112" s="27">
        <f>H113+H116+H118+H120</f>
        <v>30992622</v>
      </c>
      <c r="I112" s="27">
        <f>I113+I116+I118+I120</f>
        <v>3656059</v>
      </c>
      <c r="J112" s="27">
        <f>J113+J116+J118+J120</f>
        <v>0</v>
      </c>
      <c r="K112" s="26">
        <f t="shared" si="20"/>
        <v>15302769</v>
      </c>
      <c r="L112" s="27">
        <f>L113+L116+L118+L120</f>
        <v>982626</v>
      </c>
      <c r="M112" s="27">
        <f>M113+M116+M118+M120</f>
        <v>267946</v>
      </c>
      <c r="N112" s="27">
        <f>N113+N116+N118+N120</f>
        <v>135279</v>
      </c>
      <c r="O112" s="27">
        <f>O113+O116+O118+O120</f>
        <v>14320143</v>
      </c>
      <c r="P112" s="27">
        <f>P113+P116+P118+P120</f>
        <v>14320143</v>
      </c>
      <c r="Q112" s="26">
        <f t="shared" si="21"/>
        <v>79688830</v>
      </c>
    </row>
    <row r="113" spans="1:17" ht="25.5">
      <c r="A113" s="112" t="s">
        <v>843</v>
      </c>
      <c r="B113" s="112"/>
      <c r="C113" s="112" t="s">
        <v>1022</v>
      </c>
      <c r="D113" s="112"/>
      <c r="E113" s="115" t="s">
        <v>754</v>
      </c>
      <c r="F113" s="26">
        <f t="shared" si="19"/>
        <v>1011825</v>
      </c>
      <c r="G113" s="114">
        <f>G114+G115</f>
        <v>1011825</v>
      </c>
      <c r="H113" s="114">
        <f>H114+H115</f>
        <v>0</v>
      </c>
      <c r="I113" s="114">
        <f>I114+I115</f>
        <v>0</v>
      </c>
      <c r="J113" s="114">
        <f>J114+J115</f>
        <v>0</v>
      </c>
      <c r="K113" s="26">
        <f t="shared" si="20"/>
        <v>0</v>
      </c>
      <c r="L113" s="114">
        <f>L114+L115</f>
        <v>0</v>
      </c>
      <c r="M113" s="114">
        <f>M114+M115</f>
        <v>0</v>
      </c>
      <c r="N113" s="114">
        <f>N114+N115</f>
        <v>0</v>
      </c>
      <c r="O113" s="114">
        <f>O114+O115</f>
        <v>0</v>
      </c>
      <c r="P113" s="114">
        <f>P114+P115</f>
        <v>0</v>
      </c>
      <c r="Q113" s="26">
        <f t="shared" si="21"/>
        <v>1011825</v>
      </c>
    </row>
    <row r="114" spans="1:17" ht="38.25">
      <c r="A114" s="50" t="s">
        <v>844</v>
      </c>
      <c r="B114" s="28">
        <v>130102</v>
      </c>
      <c r="C114" s="50" t="s">
        <v>1017</v>
      </c>
      <c r="D114" s="50" t="s">
        <v>584</v>
      </c>
      <c r="E114" s="48" t="s">
        <v>199</v>
      </c>
      <c r="F114" s="26">
        <f t="shared" si="19"/>
        <v>772475</v>
      </c>
      <c r="G114" s="27">
        <f>633667+138808</f>
        <v>772475</v>
      </c>
      <c r="H114" s="27"/>
      <c r="I114" s="27"/>
      <c r="J114" s="27"/>
      <c r="K114" s="26">
        <f t="shared" si="20"/>
        <v>0</v>
      </c>
      <c r="L114" s="27"/>
      <c r="M114" s="27"/>
      <c r="N114" s="27"/>
      <c r="O114" s="27"/>
      <c r="P114" s="27"/>
      <c r="Q114" s="26">
        <f t="shared" si="21"/>
        <v>772475</v>
      </c>
    </row>
    <row r="115" spans="1:17" ht="38.25">
      <c r="A115" s="50" t="s">
        <v>845</v>
      </c>
      <c r="B115" s="50" t="s">
        <v>456</v>
      </c>
      <c r="C115" s="50" t="s">
        <v>1018</v>
      </c>
      <c r="D115" s="50" t="s">
        <v>584</v>
      </c>
      <c r="E115" s="48" t="s">
        <v>457</v>
      </c>
      <c r="F115" s="26">
        <f t="shared" si="19"/>
        <v>239350</v>
      </c>
      <c r="G115" s="27">
        <f>207319+32031</f>
        <v>239350</v>
      </c>
      <c r="H115" s="27"/>
      <c r="I115" s="27"/>
      <c r="J115" s="27"/>
      <c r="K115" s="26">
        <f t="shared" si="20"/>
        <v>0</v>
      </c>
      <c r="L115" s="27"/>
      <c r="M115" s="27"/>
      <c r="N115" s="27"/>
      <c r="O115" s="27"/>
      <c r="P115" s="27"/>
      <c r="Q115" s="26">
        <f t="shared" si="21"/>
        <v>239350</v>
      </c>
    </row>
    <row r="116" spans="1:17" ht="25.5">
      <c r="A116" s="112" t="s">
        <v>1160</v>
      </c>
      <c r="B116" s="112"/>
      <c r="C116" s="112" t="s">
        <v>1161</v>
      </c>
      <c r="D116" s="112"/>
      <c r="E116" s="115" t="s">
        <v>1182</v>
      </c>
      <c r="F116" s="114">
        <f t="shared" si="19"/>
        <v>43659155</v>
      </c>
      <c r="G116" s="114">
        <f>G117</f>
        <v>43659155</v>
      </c>
      <c r="H116" s="114">
        <f>H117</f>
        <v>27503852</v>
      </c>
      <c r="I116" s="114">
        <f>I117</f>
        <v>2890433</v>
      </c>
      <c r="J116" s="114">
        <f>J117+J119</f>
        <v>0</v>
      </c>
      <c r="K116" s="114">
        <f aca="true" t="shared" si="24" ref="K116:P116">K117</f>
        <v>7541616</v>
      </c>
      <c r="L116" s="114">
        <f t="shared" si="24"/>
        <v>776526</v>
      </c>
      <c r="M116" s="114">
        <f t="shared" si="24"/>
        <v>207915</v>
      </c>
      <c r="N116" s="114">
        <f t="shared" si="24"/>
        <v>108732</v>
      </c>
      <c r="O116" s="114">
        <f t="shared" si="24"/>
        <v>6765090</v>
      </c>
      <c r="P116" s="114">
        <f t="shared" si="24"/>
        <v>6765090</v>
      </c>
      <c r="Q116" s="114">
        <f t="shared" si="21"/>
        <v>51200771</v>
      </c>
    </row>
    <row r="117" spans="1:17" ht="38.25">
      <c r="A117" s="50" t="s">
        <v>1162</v>
      </c>
      <c r="B117" s="28">
        <v>130107</v>
      </c>
      <c r="C117" s="50" t="s">
        <v>1163</v>
      </c>
      <c r="D117" s="50" t="s">
        <v>584</v>
      </c>
      <c r="E117" s="48" t="s">
        <v>389</v>
      </c>
      <c r="F117" s="26">
        <f t="shared" si="19"/>
        <v>43659155</v>
      </c>
      <c r="G117" s="27">
        <f>42165593+1719392+(34170)+(70665)-567465+(39000)-(29500)+(20006)+(12000)+(25000)+(7500)+125000+(27200)+(6600)-(4000)+(7994)</f>
        <v>43659155</v>
      </c>
      <c r="H117" s="27">
        <f>27818348-314496</f>
        <v>27503852</v>
      </c>
      <c r="I117" s="27">
        <f>3072213-181780</f>
        <v>2890433</v>
      </c>
      <c r="J117" s="27"/>
      <c r="K117" s="26">
        <f t="shared" si="20"/>
        <v>7541616</v>
      </c>
      <c r="L117" s="27">
        <v>776526</v>
      </c>
      <c r="M117" s="27">
        <v>207915</v>
      </c>
      <c r="N117" s="27">
        <v>108732</v>
      </c>
      <c r="O117" s="27">
        <f>P117</f>
        <v>6765090</v>
      </c>
      <c r="P117" s="27">
        <f>1500000-217736+1473902+(22000)+(34000)-(5000)+(58500)+214641+(7994)+1685883+25000+(35000)-(35000)-(6600)+(203000)+(1311500)+(466000)-(7994)</f>
        <v>6765090</v>
      </c>
      <c r="Q117" s="26">
        <f t="shared" si="21"/>
        <v>51200771</v>
      </c>
    </row>
    <row r="118" spans="1:17" ht="25.5">
      <c r="A118" s="112" t="s">
        <v>1164</v>
      </c>
      <c r="B118" s="112"/>
      <c r="C118" s="112" t="s">
        <v>1165</v>
      </c>
      <c r="D118" s="112" t="s">
        <v>584</v>
      </c>
      <c r="E118" s="115" t="s">
        <v>1166</v>
      </c>
      <c r="F118" s="114">
        <f>F119</f>
        <v>17857467</v>
      </c>
      <c r="G118" s="114">
        <f>G119</f>
        <v>17857467</v>
      </c>
      <c r="H118" s="114">
        <f aca="true" t="shared" si="25" ref="H118:Q118">H119</f>
        <v>2224686</v>
      </c>
      <c r="I118" s="114">
        <f t="shared" si="25"/>
        <v>623501</v>
      </c>
      <c r="J118" s="114">
        <f t="shared" si="25"/>
        <v>0</v>
      </c>
      <c r="K118" s="114">
        <f t="shared" si="25"/>
        <v>7592243</v>
      </c>
      <c r="L118" s="114">
        <f t="shared" si="25"/>
        <v>112000</v>
      </c>
      <c r="M118" s="114">
        <f t="shared" si="25"/>
        <v>21004</v>
      </c>
      <c r="N118" s="114">
        <f t="shared" si="25"/>
        <v>12350</v>
      </c>
      <c r="O118" s="114">
        <f t="shared" si="25"/>
        <v>7480243</v>
      </c>
      <c r="P118" s="114">
        <f t="shared" si="25"/>
        <v>7480243</v>
      </c>
      <c r="Q118" s="114">
        <f t="shared" si="25"/>
        <v>25449710</v>
      </c>
    </row>
    <row r="119" spans="1:17" ht="25.5">
      <c r="A119" s="50" t="s">
        <v>1167</v>
      </c>
      <c r="B119" s="28">
        <v>130110</v>
      </c>
      <c r="C119" s="50" t="s">
        <v>1168</v>
      </c>
      <c r="D119" s="50" t="s">
        <v>584</v>
      </c>
      <c r="E119" s="48" t="s">
        <v>1169</v>
      </c>
      <c r="F119" s="26">
        <f t="shared" si="19"/>
        <v>17857467</v>
      </c>
      <c r="G119" s="27">
        <f>13780201+206443+238213+42944-1277000+4841666+(25000)</f>
        <v>17857467</v>
      </c>
      <c r="H119" s="27">
        <f>2189486+35200</f>
        <v>2224686</v>
      </c>
      <c r="I119" s="27">
        <v>623501</v>
      </c>
      <c r="J119" s="27"/>
      <c r="K119" s="26">
        <f t="shared" si="20"/>
        <v>7592243</v>
      </c>
      <c r="L119" s="27">
        <v>112000</v>
      </c>
      <c r="M119" s="27">
        <v>21004</v>
      </c>
      <c r="N119" s="27">
        <v>12350</v>
      </c>
      <c r="O119" s="27">
        <f>P119</f>
        <v>7480243</v>
      </c>
      <c r="P119" s="27">
        <f>397654+(18000)+7085176-20587</f>
        <v>7480243</v>
      </c>
      <c r="Q119" s="26">
        <f t="shared" si="21"/>
        <v>25449710</v>
      </c>
    </row>
    <row r="120" spans="1:17" ht="25.5">
      <c r="A120" s="112" t="s">
        <v>1170</v>
      </c>
      <c r="B120" s="112"/>
      <c r="C120" s="112" t="s">
        <v>1171</v>
      </c>
      <c r="D120" s="112"/>
      <c r="E120" s="115" t="s">
        <v>1183</v>
      </c>
      <c r="F120" s="114">
        <f t="shared" si="19"/>
        <v>1857614</v>
      </c>
      <c r="G120" s="114">
        <f>G121+G122</f>
        <v>1857614</v>
      </c>
      <c r="H120" s="114">
        <f>H121+H122</f>
        <v>1264084</v>
      </c>
      <c r="I120" s="114">
        <f>I121+I122</f>
        <v>142125</v>
      </c>
      <c r="J120" s="114"/>
      <c r="K120" s="114">
        <f t="shared" si="20"/>
        <v>168910</v>
      </c>
      <c r="L120" s="114">
        <f>L121+L122</f>
        <v>94100</v>
      </c>
      <c r="M120" s="114">
        <f>M121+M122</f>
        <v>39027</v>
      </c>
      <c r="N120" s="114">
        <f>N121+N122</f>
        <v>14197</v>
      </c>
      <c r="O120" s="27">
        <f>P120</f>
        <v>74810</v>
      </c>
      <c r="P120" s="114">
        <f>P121+P122</f>
        <v>74810</v>
      </c>
      <c r="Q120" s="114">
        <f t="shared" si="21"/>
        <v>2026524</v>
      </c>
    </row>
    <row r="121" spans="1:17" ht="57" customHeight="1">
      <c r="A121" s="50" t="s">
        <v>1175</v>
      </c>
      <c r="B121" s="50" t="s">
        <v>88</v>
      </c>
      <c r="C121" s="50" t="s">
        <v>1176</v>
      </c>
      <c r="D121" s="50" t="s">
        <v>584</v>
      </c>
      <c r="E121" s="51" t="s">
        <v>1177</v>
      </c>
      <c r="F121" s="26">
        <f>G121+J121</f>
        <v>783949</v>
      </c>
      <c r="G121" s="27">
        <f>G123</f>
        <v>783949</v>
      </c>
      <c r="H121" s="27">
        <f>H123</f>
        <v>523125</v>
      </c>
      <c r="I121" s="27">
        <f>I123</f>
        <v>142125</v>
      </c>
      <c r="J121" s="27">
        <f>J123</f>
        <v>0</v>
      </c>
      <c r="K121" s="26">
        <f>L121+O121</f>
        <v>168910</v>
      </c>
      <c r="L121" s="27">
        <f>L123</f>
        <v>94100</v>
      </c>
      <c r="M121" s="27">
        <f>M123</f>
        <v>39027</v>
      </c>
      <c r="N121" s="27">
        <f>N123</f>
        <v>14197</v>
      </c>
      <c r="O121" s="27">
        <f>P121</f>
        <v>74810</v>
      </c>
      <c r="P121" s="27">
        <v>74810</v>
      </c>
      <c r="Q121" s="26">
        <f>F121+K121</f>
        <v>952859</v>
      </c>
    </row>
    <row r="122" spans="1:17" ht="29.25" customHeight="1">
      <c r="A122" s="50" t="s">
        <v>1172</v>
      </c>
      <c r="B122" s="50" t="s">
        <v>830</v>
      </c>
      <c r="C122" s="50" t="s">
        <v>1173</v>
      </c>
      <c r="D122" s="50" t="s">
        <v>584</v>
      </c>
      <c r="E122" s="51" t="s">
        <v>1174</v>
      </c>
      <c r="F122" s="26">
        <f>G122+J122</f>
        <v>1073665</v>
      </c>
      <c r="G122" s="27">
        <v>1073665</v>
      </c>
      <c r="H122" s="27">
        <v>740959</v>
      </c>
      <c r="I122" s="27"/>
      <c r="J122" s="27"/>
      <c r="K122" s="26">
        <f>L122+O122</f>
        <v>0</v>
      </c>
      <c r="L122" s="27"/>
      <c r="M122" s="27"/>
      <c r="N122" s="27"/>
      <c r="O122" s="27"/>
      <c r="P122" s="27"/>
      <c r="Q122" s="26">
        <f>F122+K122</f>
        <v>1073665</v>
      </c>
    </row>
    <row r="123" spans="1:17" s="169" customFormat="1" ht="63.75" hidden="1">
      <c r="A123" s="170" t="s">
        <v>846</v>
      </c>
      <c r="B123" s="171" t="s">
        <v>88</v>
      </c>
      <c r="C123" s="170" t="s">
        <v>1019</v>
      </c>
      <c r="D123" s="170" t="s">
        <v>584</v>
      </c>
      <c r="E123" s="178" t="s">
        <v>200</v>
      </c>
      <c r="F123" s="173">
        <f t="shared" si="19"/>
        <v>783949</v>
      </c>
      <c r="G123" s="173">
        <v>783949</v>
      </c>
      <c r="H123" s="173">
        <v>523125</v>
      </c>
      <c r="I123" s="173">
        <v>142125</v>
      </c>
      <c r="J123" s="173"/>
      <c r="K123" s="173">
        <f t="shared" si="20"/>
        <v>94100</v>
      </c>
      <c r="L123" s="173">
        <v>94100</v>
      </c>
      <c r="M123" s="173">
        <v>39027</v>
      </c>
      <c r="N123" s="173">
        <v>14197</v>
      </c>
      <c r="O123" s="173"/>
      <c r="P123" s="173"/>
      <c r="Q123" s="173">
        <f t="shared" si="21"/>
        <v>878049</v>
      </c>
    </row>
    <row r="124" spans="1:17" ht="12.75">
      <c r="A124" s="112" t="s">
        <v>847</v>
      </c>
      <c r="B124" s="112" t="s">
        <v>628</v>
      </c>
      <c r="C124" s="112" t="s">
        <v>1020</v>
      </c>
      <c r="D124" s="112"/>
      <c r="E124" s="115" t="s">
        <v>631</v>
      </c>
      <c r="F124" s="26">
        <f t="shared" si="19"/>
        <v>0</v>
      </c>
      <c r="G124" s="27">
        <f>G125</f>
        <v>0</v>
      </c>
      <c r="H124" s="27">
        <f>H125</f>
        <v>0</v>
      </c>
      <c r="I124" s="27">
        <f>I125</f>
        <v>0</v>
      </c>
      <c r="J124" s="27">
        <f>J125</f>
        <v>0</v>
      </c>
      <c r="K124" s="26">
        <f t="shared" si="20"/>
        <v>50000</v>
      </c>
      <c r="L124" s="27">
        <f>L125</f>
        <v>0</v>
      </c>
      <c r="M124" s="27">
        <f>M125</f>
        <v>0</v>
      </c>
      <c r="N124" s="27">
        <f>N125</f>
        <v>0</v>
      </c>
      <c r="O124" s="27">
        <f>O125</f>
        <v>50000</v>
      </c>
      <c r="P124" s="27">
        <f>P125</f>
        <v>50000</v>
      </c>
      <c r="Q124" s="26">
        <f t="shared" si="21"/>
        <v>50000</v>
      </c>
    </row>
    <row r="125" spans="1:17" ht="25.5">
      <c r="A125" s="50" t="s">
        <v>848</v>
      </c>
      <c r="B125" s="28" t="s">
        <v>87</v>
      </c>
      <c r="C125" s="50" t="s">
        <v>980</v>
      </c>
      <c r="D125" s="50" t="s">
        <v>576</v>
      </c>
      <c r="E125" s="48" t="s">
        <v>174</v>
      </c>
      <c r="F125" s="26">
        <f t="shared" si="19"/>
        <v>0</v>
      </c>
      <c r="G125" s="27"/>
      <c r="H125" s="27"/>
      <c r="I125" s="27"/>
      <c r="J125" s="27"/>
      <c r="K125" s="26">
        <f t="shared" si="20"/>
        <v>50000</v>
      </c>
      <c r="L125" s="27"/>
      <c r="M125" s="27"/>
      <c r="N125" s="27"/>
      <c r="O125" s="27">
        <f>P125</f>
        <v>50000</v>
      </c>
      <c r="P125" s="27">
        <f>1950524-214641-1685883-49832+49832</f>
        <v>50000</v>
      </c>
      <c r="Q125" s="26">
        <f t="shared" si="21"/>
        <v>50000</v>
      </c>
    </row>
    <row r="126" spans="1:17" ht="25.5">
      <c r="A126" s="112" t="s">
        <v>849</v>
      </c>
      <c r="B126" s="112" t="s">
        <v>634</v>
      </c>
      <c r="C126" s="112" t="s">
        <v>1021</v>
      </c>
      <c r="D126" s="112"/>
      <c r="E126" s="115" t="s">
        <v>635</v>
      </c>
      <c r="F126" s="114">
        <f t="shared" si="19"/>
        <v>150000</v>
      </c>
      <c r="G126" s="114">
        <f>G127</f>
        <v>150000</v>
      </c>
      <c r="H126" s="114">
        <f>H127</f>
        <v>0</v>
      </c>
      <c r="I126" s="114">
        <f>I127</f>
        <v>0</v>
      </c>
      <c r="J126" s="114">
        <f>J127</f>
        <v>0</v>
      </c>
      <c r="K126" s="114">
        <f t="shared" si="20"/>
        <v>0</v>
      </c>
      <c r="L126" s="114">
        <f>L127</f>
        <v>0</v>
      </c>
      <c r="M126" s="114">
        <f>M127</f>
        <v>0</v>
      </c>
      <c r="N126" s="114">
        <f>N127</f>
        <v>0</v>
      </c>
      <c r="O126" s="114">
        <f>O127</f>
        <v>0</v>
      </c>
      <c r="P126" s="114">
        <f>P127</f>
        <v>0</v>
      </c>
      <c r="Q126" s="114">
        <f t="shared" si="21"/>
        <v>150000</v>
      </c>
    </row>
    <row r="127" spans="1:17" ht="51">
      <c r="A127" s="50" t="s">
        <v>1180</v>
      </c>
      <c r="B127" s="112"/>
      <c r="C127" s="112" t="s">
        <v>1013</v>
      </c>
      <c r="D127" s="112"/>
      <c r="E127" s="115" t="s">
        <v>894</v>
      </c>
      <c r="F127" s="114">
        <f>G127</f>
        <v>150000</v>
      </c>
      <c r="G127" s="114">
        <f>G128</f>
        <v>150000</v>
      </c>
      <c r="H127" s="114"/>
      <c r="I127" s="114"/>
      <c r="J127" s="114"/>
      <c r="K127" s="114"/>
      <c r="L127" s="114"/>
      <c r="M127" s="114"/>
      <c r="N127" s="114"/>
      <c r="O127" s="114"/>
      <c r="P127" s="114"/>
      <c r="Q127" s="114">
        <f t="shared" si="21"/>
        <v>150000</v>
      </c>
    </row>
    <row r="128" spans="1:17" ht="80.25" customHeight="1">
      <c r="A128" s="50" t="s">
        <v>850</v>
      </c>
      <c r="B128" s="50" t="s">
        <v>488</v>
      </c>
      <c r="C128" s="50" t="s">
        <v>1014</v>
      </c>
      <c r="D128" s="50" t="s">
        <v>588</v>
      </c>
      <c r="E128" s="79" t="s">
        <v>489</v>
      </c>
      <c r="F128" s="26">
        <f t="shared" si="19"/>
        <v>150000</v>
      </c>
      <c r="G128" s="27">
        <f>150000</f>
        <v>150000</v>
      </c>
      <c r="H128" s="27"/>
      <c r="I128" s="27"/>
      <c r="J128" s="27"/>
      <c r="K128" s="26">
        <f t="shared" si="20"/>
        <v>0</v>
      </c>
      <c r="L128" s="27"/>
      <c r="M128" s="27"/>
      <c r="N128" s="27"/>
      <c r="O128" s="27"/>
      <c r="P128" s="27"/>
      <c r="Q128" s="26">
        <f t="shared" si="21"/>
        <v>150000</v>
      </c>
    </row>
    <row r="129" spans="1:18" ht="25.5">
      <c r="A129" s="62" t="s">
        <v>203</v>
      </c>
      <c r="B129" s="62" t="s">
        <v>154</v>
      </c>
      <c r="C129" s="62" t="s">
        <v>154</v>
      </c>
      <c r="D129" s="62"/>
      <c r="E129" s="61" t="s">
        <v>797</v>
      </c>
      <c r="F129" s="39">
        <f>G129+J129</f>
        <v>1017003693</v>
      </c>
      <c r="G129" s="39">
        <f>G130</f>
        <v>1017003693</v>
      </c>
      <c r="H129" s="39">
        <f>H130</f>
        <v>1778403</v>
      </c>
      <c r="I129" s="39">
        <f>I130</f>
        <v>184877</v>
      </c>
      <c r="J129" s="39">
        <f>J130</f>
        <v>0</v>
      </c>
      <c r="K129" s="39">
        <f>L129+O129</f>
        <v>179402278</v>
      </c>
      <c r="L129" s="39">
        <f>L130</f>
        <v>33032267</v>
      </c>
      <c r="M129" s="39">
        <f>M130</f>
        <v>0</v>
      </c>
      <c r="N129" s="39">
        <f>N130</f>
        <v>0</v>
      </c>
      <c r="O129" s="39">
        <f>O130</f>
        <v>146370011</v>
      </c>
      <c r="P129" s="39">
        <f>P130</f>
        <v>145245205</v>
      </c>
      <c r="Q129" s="39">
        <f>F129+K129</f>
        <v>1196405971</v>
      </c>
      <c r="R129" s="164"/>
    </row>
    <row r="130" spans="1:17" ht="25.5">
      <c r="A130" s="59" t="s">
        <v>204</v>
      </c>
      <c r="B130" s="31"/>
      <c r="C130" s="31"/>
      <c r="D130" s="31"/>
      <c r="E130" s="49" t="s">
        <v>797</v>
      </c>
      <c r="F130" s="26">
        <f>G130+J130</f>
        <v>1017003693</v>
      </c>
      <c r="G130" s="26">
        <f>G131+G133+G169</f>
        <v>1017003693</v>
      </c>
      <c r="H130" s="26">
        <f>H131+H133+H169</f>
        <v>1778403</v>
      </c>
      <c r="I130" s="26">
        <f>I131+I133+I169</f>
        <v>184877</v>
      </c>
      <c r="J130" s="26">
        <f>J131+J133+J169</f>
        <v>0</v>
      </c>
      <c r="K130" s="26">
        <f>L130+O130</f>
        <v>179402278</v>
      </c>
      <c r="L130" s="26">
        <f>L131+L133+L169</f>
        <v>33032267</v>
      </c>
      <c r="M130" s="26">
        <f>M131+M133+M169</f>
        <v>0</v>
      </c>
      <c r="N130" s="26">
        <f>N131+N133+N169</f>
        <v>0</v>
      </c>
      <c r="O130" s="26">
        <f>O131+O133+O169</f>
        <v>146370011</v>
      </c>
      <c r="P130" s="26">
        <f>P131+P133+P169</f>
        <v>145245205</v>
      </c>
      <c r="Q130" s="26">
        <f>F130+K130</f>
        <v>1196405971</v>
      </c>
    </row>
    <row r="131" spans="1:17" ht="12.75">
      <c r="A131" s="112" t="s">
        <v>677</v>
      </c>
      <c r="B131" s="111" t="s">
        <v>671</v>
      </c>
      <c r="C131" s="111" t="s">
        <v>972</v>
      </c>
      <c r="D131" s="111"/>
      <c r="E131" s="127" t="s">
        <v>673</v>
      </c>
      <c r="F131" s="26">
        <f aca="true" t="shared" si="26" ref="F131:F171">G131+J131</f>
        <v>2690039</v>
      </c>
      <c r="G131" s="123">
        <f>G132</f>
        <v>2690039</v>
      </c>
      <c r="H131" s="123">
        <f>H132</f>
        <v>1778403</v>
      </c>
      <c r="I131" s="123">
        <f>I132</f>
        <v>184877</v>
      </c>
      <c r="J131" s="123">
        <f>J132</f>
        <v>0</v>
      </c>
      <c r="K131" s="26">
        <f aca="true" t="shared" si="27" ref="K131:K171">L131+O131</f>
        <v>3275458</v>
      </c>
      <c r="L131" s="123">
        <f>L132</f>
        <v>0</v>
      </c>
      <c r="M131" s="123">
        <f>M132</f>
        <v>0</v>
      </c>
      <c r="N131" s="123">
        <f>N132</f>
        <v>0</v>
      </c>
      <c r="O131" s="123">
        <f>O132</f>
        <v>3275458</v>
      </c>
      <c r="P131" s="123">
        <f>P132</f>
        <v>3275458</v>
      </c>
      <c r="Q131" s="26">
        <f aca="true" t="shared" si="28" ref="Q131:Q171">F131+K131</f>
        <v>5965497</v>
      </c>
    </row>
    <row r="132" spans="1:18" ht="25.5">
      <c r="A132" s="50" t="s">
        <v>2</v>
      </c>
      <c r="B132" s="28" t="s">
        <v>33</v>
      </c>
      <c r="C132" s="50" t="s">
        <v>613</v>
      </c>
      <c r="D132" s="50" t="s">
        <v>574</v>
      </c>
      <c r="E132" s="51" t="s">
        <v>306</v>
      </c>
      <c r="F132" s="26">
        <f t="shared" si="26"/>
        <v>2690039</v>
      </c>
      <c r="G132" s="27">
        <f>2569498+150770-35816+5587</f>
        <v>2690039</v>
      </c>
      <c r="H132" s="27">
        <f>1803481-29681+4603</f>
        <v>1778403</v>
      </c>
      <c r="I132" s="27">
        <v>184877</v>
      </c>
      <c r="J132" s="27"/>
      <c r="K132" s="26">
        <f t="shared" si="27"/>
        <v>3275458</v>
      </c>
      <c r="L132" s="27"/>
      <c r="M132" s="27"/>
      <c r="N132" s="27"/>
      <c r="O132" s="27">
        <f>P132</f>
        <v>3275458</v>
      </c>
      <c r="P132" s="27">
        <f>2595187-167863+848134</f>
        <v>3275458</v>
      </c>
      <c r="Q132" s="26">
        <f t="shared" si="28"/>
        <v>5965497</v>
      </c>
      <c r="R132" s="164"/>
    </row>
    <row r="133" spans="1:18" ht="12.75">
      <c r="A133" s="112" t="s">
        <v>637</v>
      </c>
      <c r="B133" s="112" t="s">
        <v>636</v>
      </c>
      <c r="C133" s="112" t="s">
        <v>1023</v>
      </c>
      <c r="D133" s="112"/>
      <c r="E133" s="113" t="s">
        <v>638</v>
      </c>
      <c r="F133" s="114">
        <f t="shared" si="26"/>
        <v>1014313654</v>
      </c>
      <c r="G133" s="114">
        <f>G134+G139+G143+G147+G151+G154+G159+G160+G161+G163</f>
        <v>1014313654</v>
      </c>
      <c r="H133" s="114">
        <f>H134+H139+H143+H147+H151+H154+H159+H160+H161+H163</f>
        <v>0</v>
      </c>
      <c r="I133" s="114">
        <f>I134+I139+I143+I147+I151+I154+I159+I160+I161+I163</f>
        <v>0</v>
      </c>
      <c r="J133" s="114">
        <f>J134+J139+J143+J147+J151+J154+J159+J160+J161+J163</f>
        <v>0</v>
      </c>
      <c r="K133" s="114">
        <f>L133+O133</f>
        <v>156806625</v>
      </c>
      <c r="L133" s="114">
        <f>L134+L139+L143+L147+L151+L154+L159+L160+L161+L163</f>
        <v>33032267</v>
      </c>
      <c r="M133" s="114">
        <f>M134+M139+M143+M147+M151+M154+M159+M160+M161+M163</f>
        <v>0</v>
      </c>
      <c r="N133" s="114">
        <f>N134+N139+N143+N147+N151+N154+N159+N160+N161+N163</f>
        <v>0</v>
      </c>
      <c r="O133" s="114">
        <f>O134+O139+O143+O147+O151+O154+O159+O160+O161+O163</f>
        <v>123774358</v>
      </c>
      <c r="P133" s="114">
        <f>P134+P139+P143+P147+P151+P154+P159+P160+P161+P163</f>
        <v>122649552</v>
      </c>
      <c r="Q133" s="114">
        <f t="shared" si="28"/>
        <v>1171120279</v>
      </c>
      <c r="R133" s="164"/>
    </row>
    <row r="134" spans="1:17" ht="25.5">
      <c r="A134" s="50" t="s">
        <v>205</v>
      </c>
      <c r="B134" s="28" t="s">
        <v>39</v>
      </c>
      <c r="C134" s="50" t="s">
        <v>1024</v>
      </c>
      <c r="D134" s="50" t="s">
        <v>589</v>
      </c>
      <c r="E134" s="48" t="s">
        <v>206</v>
      </c>
      <c r="F134" s="26">
        <f t="shared" si="26"/>
        <v>659664218</v>
      </c>
      <c r="G134" s="27">
        <f>642608030-2850672+(113610)+(110000)+8560465+(20600)-(9800)+(50000)+(20000)+(49000)+(160000)+2048072+(51232)+(49900)+(7000)+(20000)+403600+7418009+(17078)+(85318)+(97000)-(9500)+518653-109920+(60000)+117543+(59000)</f>
        <v>659664218</v>
      </c>
      <c r="H134" s="27"/>
      <c r="I134" s="27"/>
      <c r="J134" s="27"/>
      <c r="K134" s="26">
        <f t="shared" si="27"/>
        <v>101617002</v>
      </c>
      <c r="L134" s="27">
        <v>15359005</v>
      </c>
      <c r="M134" s="27"/>
      <c r="N134" s="27"/>
      <c r="O134" s="27">
        <f>P134+473299</f>
        <v>86257997</v>
      </c>
      <c r="P134" s="27">
        <f>15900061+2390840+29716623-1051235+12915470-7684210+20000000+(54040)+171256+(20000)+(50000)-3217052+(83750)+3746047+(124800)+(118315)+(30000)-1346941-(10000)+(23000)+(47824)+2998500+2643121+(22922)+(41000)+(38000)+(9500)+7409193+(12000)+517874+(10000)</f>
        <v>85784698</v>
      </c>
      <c r="Q134" s="26">
        <f t="shared" si="28"/>
        <v>761281220</v>
      </c>
    </row>
    <row r="135" spans="1:17" s="148" customFormat="1" ht="12.75">
      <c r="A135" s="146"/>
      <c r="B135" s="146"/>
      <c r="C135" s="146"/>
      <c r="D135" s="146"/>
      <c r="E135" s="136" t="s">
        <v>896</v>
      </c>
      <c r="F135" s="142">
        <f t="shared" si="26"/>
        <v>395573763</v>
      </c>
      <c r="G135" s="147">
        <f>391345356+4228407</f>
        <v>395573763</v>
      </c>
      <c r="H135" s="147"/>
      <c r="I135" s="147"/>
      <c r="J135" s="147"/>
      <c r="K135" s="26">
        <f t="shared" si="27"/>
        <v>0</v>
      </c>
      <c r="L135" s="147"/>
      <c r="M135" s="147"/>
      <c r="N135" s="147"/>
      <c r="O135" s="147"/>
      <c r="P135" s="147"/>
      <c r="Q135" s="142">
        <f t="shared" si="28"/>
        <v>395573763</v>
      </c>
    </row>
    <row r="136" spans="1:17" s="148" customFormat="1" ht="48" hidden="1">
      <c r="A136" s="146"/>
      <c r="B136" s="146"/>
      <c r="C136" s="146"/>
      <c r="D136" s="146"/>
      <c r="E136" s="135" t="s">
        <v>895</v>
      </c>
      <c r="F136" s="147">
        <f t="shared" si="26"/>
        <v>0</v>
      </c>
      <c r="G136" s="147"/>
      <c r="H136" s="147"/>
      <c r="I136" s="147"/>
      <c r="J136" s="147"/>
      <c r="K136" s="26">
        <f t="shared" si="27"/>
        <v>0</v>
      </c>
      <c r="L136" s="147"/>
      <c r="M136" s="147"/>
      <c r="N136" s="147"/>
      <c r="O136" s="147">
        <f>P136</f>
        <v>0</v>
      </c>
      <c r="P136" s="147"/>
      <c r="Q136" s="142">
        <f t="shared" si="28"/>
        <v>0</v>
      </c>
    </row>
    <row r="137" spans="1:17" s="148" customFormat="1" ht="60">
      <c r="A137" s="146"/>
      <c r="B137" s="146"/>
      <c r="C137" s="146"/>
      <c r="D137" s="146"/>
      <c r="E137" s="136" t="s">
        <v>865</v>
      </c>
      <c r="F137" s="147"/>
      <c r="G137" s="147"/>
      <c r="H137" s="147"/>
      <c r="I137" s="147"/>
      <c r="J137" s="147"/>
      <c r="K137" s="26">
        <f t="shared" si="27"/>
        <v>4711000</v>
      </c>
      <c r="L137" s="147"/>
      <c r="M137" s="147"/>
      <c r="N137" s="147"/>
      <c r="O137" s="147">
        <f>P137</f>
        <v>4711000</v>
      </c>
      <c r="P137" s="147">
        <v>4711000</v>
      </c>
      <c r="Q137" s="142">
        <f t="shared" si="28"/>
        <v>4711000</v>
      </c>
    </row>
    <row r="138" spans="1:17" s="148" customFormat="1" ht="48">
      <c r="A138" s="146"/>
      <c r="B138" s="146"/>
      <c r="C138" s="146"/>
      <c r="D138" s="146"/>
      <c r="E138" s="136" t="s">
        <v>1211</v>
      </c>
      <c r="F138" s="147">
        <f>G138</f>
        <v>570850</v>
      </c>
      <c r="G138" s="147">
        <v>570850</v>
      </c>
      <c r="H138" s="147"/>
      <c r="I138" s="147"/>
      <c r="J138" s="147"/>
      <c r="K138" s="147"/>
      <c r="L138" s="147"/>
      <c r="M138" s="147"/>
      <c r="N138" s="147"/>
      <c r="O138" s="147"/>
      <c r="P138" s="147"/>
      <c r="Q138" s="142">
        <f t="shared" si="28"/>
        <v>570850</v>
      </c>
    </row>
    <row r="139" spans="1:17" ht="38.25">
      <c r="A139" s="50" t="s">
        <v>207</v>
      </c>
      <c r="B139" s="28" t="s">
        <v>60</v>
      </c>
      <c r="C139" s="50" t="s">
        <v>1025</v>
      </c>
      <c r="D139" s="50" t="s">
        <v>590</v>
      </c>
      <c r="E139" s="48" t="s">
        <v>409</v>
      </c>
      <c r="F139" s="26">
        <f t="shared" si="26"/>
        <v>86712100</v>
      </c>
      <c r="G139" s="27">
        <f>85433790+(100000)+289126+(10000)+(30000)+719084+(7100)+(8000)+60000+(30000)+(25000)</f>
        <v>86712100</v>
      </c>
      <c r="H139" s="27"/>
      <c r="I139" s="27"/>
      <c r="J139" s="27"/>
      <c r="K139" s="26">
        <f t="shared" si="27"/>
        <v>20691965</v>
      </c>
      <c r="L139" s="27">
        <v>278098</v>
      </c>
      <c r="M139" s="27"/>
      <c r="N139" s="27"/>
      <c r="O139" s="27">
        <f>P139</f>
        <v>20413867</v>
      </c>
      <c r="P139" s="27">
        <f>453210+16895942+2315790-2315790+250383+(25000)+(20000)+235913+165200+2210399-(7100)+60000+49920+(25000)+45000-(25000)+(10000)</f>
        <v>20413867</v>
      </c>
      <c r="Q139" s="26">
        <f t="shared" si="28"/>
        <v>107404065</v>
      </c>
    </row>
    <row r="140" spans="1:17" s="148" customFormat="1" ht="12.75">
      <c r="A140" s="146"/>
      <c r="B140" s="146"/>
      <c r="C140" s="146"/>
      <c r="D140" s="146"/>
      <c r="E140" s="136" t="s">
        <v>897</v>
      </c>
      <c r="F140" s="142">
        <f t="shared" si="26"/>
        <v>70078032</v>
      </c>
      <c r="G140" s="147">
        <f>69555444+522588</f>
        <v>70078032</v>
      </c>
      <c r="H140" s="147"/>
      <c r="I140" s="147"/>
      <c r="J140" s="147"/>
      <c r="K140" s="142">
        <f t="shared" si="27"/>
        <v>0</v>
      </c>
      <c r="L140" s="147"/>
      <c r="M140" s="147"/>
      <c r="N140" s="147"/>
      <c r="O140" s="147"/>
      <c r="P140" s="147"/>
      <c r="Q140" s="142">
        <f t="shared" si="28"/>
        <v>70078032</v>
      </c>
    </row>
    <row r="141" spans="1:17" s="148" customFormat="1" ht="48" hidden="1">
      <c r="A141" s="146"/>
      <c r="B141" s="146"/>
      <c r="C141" s="146"/>
      <c r="D141" s="146"/>
      <c r="E141" s="135" t="s">
        <v>895</v>
      </c>
      <c r="F141" s="147">
        <f>G141+J141</f>
        <v>0</v>
      </c>
      <c r="G141" s="147"/>
      <c r="H141" s="147"/>
      <c r="I141" s="147"/>
      <c r="J141" s="147"/>
      <c r="K141" s="147">
        <f>L141+O141</f>
        <v>0</v>
      </c>
      <c r="L141" s="147"/>
      <c r="M141" s="147"/>
      <c r="N141" s="147"/>
      <c r="O141" s="147"/>
      <c r="P141" s="147"/>
      <c r="Q141" s="147">
        <f>F141+K141</f>
        <v>0</v>
      </c>
    </row>
    <row r="142" spans="1:17" s="148" customFormat="1" ht="60">
      <c r="A142" s="146"/>
      <c r="B142" s="146"/>
      <c r="C142" s="146"/>
      <c r="D142" s="146"/>
      <c r="E142" s="136" t="s">
        <v>865</v>
      </c>
      <c r="F142" s="142">
        <f t="shared" si="26"/>
        <v>0</v>
      </c>
      <c r="G142" s="147"/>
      <c r="H142" s="147"/>
      <c r="I142" s="147"/>
      <c r="J142" s="147"/>
      <c r="K142" s="142">
        <f t="shared" si="27"/>
        <v>3200000</v>
      </c>
      <c r="L142" s="147"/>
      <c r="M142" s="147"/>
      <c r="N142" s="147"/>
      <c r="O142" s="147">
        <f>P142</f>
        <v>3200000</v>
      </c>
      <c r="P142" s="147">
        <v>3200000</v>
      </c>
      <c r="Q142" s="142">
        <f t="shared" si="28"/>
        <v>3200000</v>
      </c>
    </row>
    <row r="143" spans="1:17" ht="25.5">
      <c r="A143" s="50" t="s">
        <v>208</v>
      </c>
      <c r="B143" s="28" t="s">
        <v>40</v>
      </c>
      <c r="C143" s="50" t="s">
        <v>1026</v>
      </c>
      <c r="D143" s="50" t="s">
        <v>591</v>
      </c>
      <c r="E143" s="48" t="s">
        <v>209</v>
      </c>
      <c r="F143" s="26">
        <f t="shared" si="26"/>
        <v>6787149</v>
      </c>
      <c r="G143" s="27">
        <f>6984822+5021+19735-225629+3200</f>
        <v>6787149</v>
      </c>
      <c r="H143" s="27"/>
      <c r="I143" s="27"/>
      <c r="J143" s="27"/>
      <c r="K143" s="26">
        <f t="shared" si="27"/>
        <v>10000</v>
      </c>
      <c r="L143" s="27"/>
      <c r="M143" s="27"/>
      <c r="N143" s="27"/>
      <c r="O143" s="27">
        <f>P143</f>
        <v>10000</v>
      </c>
      <c r="P143" s="27">
        <v>10000</v>
      </c>
      <c r="Q143" s="26">
        <f t="shared" si="28"/>
        <v>6797149</v>
      </c>
    </row>
    <row r="144" spans="1:17" s="148" customFormat="1" ht="12.75">
      <c r="A144" s="146"/>
      <c r="B144" s="146"/>
      <c r="C144" s="146"/>
      <c r="D144" s="146"/>
      <c r="E144" s="136" t="s">
        <v>897</v>
      </c>
      <c r="F144" s="142">
        <f t="shared" si="26"/>
        <v>5951576</v>
      </c>
      <c r="G144" s="147">
        <v>5951576</v>
      </c>
      <c r="H144" s="147"/>
      <c r="I144" s="147"/>
      <c r="J144" s="147"/>
      <c r="K144" s="142">
        <f t="shared" si="27"/>
        <v>0</v>
      </c>
      <c r="L144" s="147"/>
      <c r="M144" s="147"/>
      <c r="N144" s="147"/>
      <c r="O144" s="147"/>
      <c r="P144" s="147"/>
      <c r="Q144" s="142">
        <f>F144+K144</f>
        <v>5951576</v>
      </c>
    </row>
    <row r="145" spans="1:17" s="148" customFormat="1" ht="48" hidden="1">
      <c r="A145" s="146"/>
      <c r="B145" s="146"/>
      <c r="C145" s="146"/>
      <c r="D145" s="146"/>
      <c r="E145" s="135" t="s">
        <v>895</v>
      </c>
      <c r="F145" s="147">
        <f t="shared" si="26"/>
        <v>0</v>
      </c>
      <c r="G145" s="147"/>
      <c r="H145" s="147"/>
      <c r="I145" s="147"/>
      <c r="J145" s="147"/>
      <c r="K145" s="147">
        <f t="shared" si="27"/>
        <v>0</v>
      </c>
      <c r="L145" s="147"/>
      <c r="M145" s="147"/>
      <c r="N145" s="147"/>
      <c r="O145" s="147"/>
      <c r="P145" s="147"/>
      <c r="Q145" s="142">
        <f>F145+K145</f>
        <v>0</v>
      </c>
    </row>
    <row r="146" spans="1:17" s="148" customFormat="1" ht="48">
      <c r="A146" s="146"/>
      <c r="B146" s="146"/>
      <c r="C146" s="146"/>
      <c r="D146" s="146"/>
      <c r="E146" s="136" t="s">
        <v>1211</v>
      </c>
      <c r="F146" s="147">
        <f>G146</f>
        <v>19696</v>
      </c>
      <c r="G146" s="147">
        <v>19696</v>
      </c>
      <c r="H146" s="147"/>
      <c r="I146" s="147"/>
      <c r="J146" s="147"/>
      <c r="K146" s="147"/>
      <c r="L146" s="147"/>
      <c r="M146" s="147"/>
      <c r="N146" s="147"/>
      <c r="O146" s="147"/>
      <c r="P146" s="147"/>
      <c r="Q146" s="142">
        <f>F146+K146</f>
        <v>19696</v>
      </c>
    </row>
    <row r="147" spans="1:17" ht="25.5">
      <c r="A147" s="50" t="s">
        <v>210</v>
      </c>
      <c r="B147" s="28" t="s">
        <v>41</v>
      </c>
      <c r="C147" s="50" t="s">
        <v>1027</v>
      </c>
      <c r="D147" s="50" t="s">
        <v>592</v>
      </c>
      <c r="E147" s="49" t="s">
        <v>211</v>
      </c>
      <c r="F147" s="26">
        <f t="shared" si="26"/>
        <v>33161130</v>
      </c>
      <c r="G147" s="27">
        <f>33605688+(20685)-471144+5901</f>
        <v>33161130</v>
      </c>
      <c r="H147" s="27"/>
      <c r="I147" s="27"/>
      <c r="J147" s="27"/>
      <c r="K147" s="26">
        <f t="shared" si="27"/>
        <v>19538313</v>
      </c>
      <c r="L147" s="27">
        <v>14777005</v>
      </c>
      <c r="M147" s="27"/>
      <c r="N147" s="27"/>
      <c r="O147" s="27">
        <f>P147+651507</f>
        <v>4761308</v>
      </c>
      <c r="P147" s="27">
        <f>3221400+295213+593188</f>
        <v>4109801</v>
      </c>
      <c r="Q147" s="26">
        <f t="shared" si="28"/>
        <v>52699443</v>
      </c>
    </row>
    <row r="148" spans="1:17" s="148" customFormat="1" ht="12.75">
      <c r="A148" s="146"/>
      <c r="B148" s="146"/>
      <c r="C148" s="146"/>
      <c r="D148" s="146"/>
      <c r="E148" s="136" t="s">
        <v>896</v>
      </c>
      <c r="F148" s="142">
        <f t="shared" si="26"/>
        <v>27437340</v>
      </c>
      <c r="G148" s="147">
        <f>27926261-488921</f>
        <v>27437340</v>
      </c>
      <c r="H148" s="147"/>
      <c r="I148" s="147"/>
      <c r="J148" s="147"/>
      <c r="K148" s="26">
        <f t="shared" si="27"/>
        <v>0</v>
      </c>
      <c r="L148" s="147"/>
      <c r="M148" s="147"/>
      <c r="N148" s="147"/>
      <c r="O148" s="147"/>
      <c r="P148" s="147"/>
      <c r="Q148" s="142">
        <f t="shared" si="28"/>
        <v>27437340</v>
      </c>
    </row>
    <row r="149" spans="1:17" s="148" customFormat="1" ht="60">
      <c r="A149" s="146"/>
      <c r="B149" s="146"/>
      <c r="C149" s="146"/>
      <c r="D149" s="146"/>
      <c r="E149" s="136" t="s">
        <v>865</v>
      </c>
      <c r="F149" s="142"/>
      <c r="G149" s="147"/>
      <c r="H149" s="147"/>
      <c r="I149" s="147"/>
      <c r="J149" s="147"/>
      <c r="K149" s="26">
        <f t="shared" si="27"/>
        <v>520000</v>
      </c>
      <c r="L149" s="147"/>
      <c r="M149" s="147"/>
      <c r="N149" s="147"/>
      <c r="O149" s="147">
        <f>P149</f>
        <v>520000</v>
      </c>
      <c r="P149" s="147">
        <v>520000</v>
      </c>
      <c r="Q149" s="142">
        <f t="shared" si="28"/>
        <v>520000</v>
      </c>
    </row>
    <row r="150" spans="1:17" s="148" customFormat="1" ht="48" hidden="1">
      <c r="A150" s="146"/>
      <c r="B150" s="146"/>
      <c r="C150" s="146"/>
      <c r="D150" s="146"/>
      <c r="E150" s="135" t="s">
        <v>895</v>
      </c>
      <c r="F150" s="147">
        <f>G150+J150</f>
        <v>0</v>
      </c>
      <c r="G150" s="147"/>
      <c r="H150" s="147"/>
      <c r="I150" s="147"/>
      <c r="J150" s="147"/>
      <c r="K150" s="147">
        <f>L150+O150</f>
        <v>0</v>
      </c>
      <c r="L150" s="147"/>
      <c r="M150" s="147"/>
      <c r="N150" s="147"/>
      <c r="O150" s="147"/>
      <c r="P150" s="147"/>
      <c r="Q150" s="147">
        <f>F150+K150</f>
        <v>0</v>
      </c>
    </row>
    <row r="151" spans="1:17" ht="38.25">
      <c r="A151" s="50" t="s">
        <v>212</v>
      </c>
      <c r="B151" s="28" t="s">
        <v>42</v>
      </c>
      <c r="C151" s="50" t="s">
        <v>1028</v>
      </c>
      <c r="D151" s="50" t="s">
        <v>593</v>
      </c>
      <c r="E151" s="48" t="s">
        <v>213</v>
      </c>
      <c r="F151" s="26">
        <f t="shared" si="26"/>
        <v>541299</v>
      </c>
      <c r="G151" s="27">
        <f>503982+37317</f>
        <v>541299</v>
      </c>
      <c r="H151" s="27"/>
      <c r="I151" s="27"/>
      <c r="J151" s="27"/>
      <c r="K151" s="26">
        <f t="shared" si="27"/>
        <v>26000</v>
      </c>
      <c r="L151" s="27"/>
      <c r="M151" s="27"/>
      <c r="N151" s="27"/>
      <c r="O151" s="27">
        <f>P151</f>
        <v>26000</v>
      </c>
      <c r="P151" s="27">
        <v>26000</v>
      </c>
      <c r="Q151" s="26">
        <f t="shared" si="28"/>
        <v>567299</v>
      </c>
    </row>
    <row r="152" spans="1:17" s="148" customFormat="1" ht="12.75">
      <c r="A152" s="146"/>
      <c r="B152" s="146"/>
      <c r="C152" s="146"/>
      <c r="D152" s="146"/>
      <c r="E152" s="136" t="s">
        <v>896</v>
      </c>
      <c r="F152" s="142">
        <f t="shared" si="26"/>
        <v>491349</v>
      </c>
      <c r="G152" s="147">
        <f>473832+17517</f>
        <v>491349</v>
      </c>
      <c r="H152" s="147"/>
      <c r="I152" s="147"/>
      <c r="J152" s="147"/>
      <c r="K152" s="142">
        <f t="shared" si="27"/>
        <v>0</v>
      </c>
      <c r="L152" s="147"/>
      <c r="M152" s="147"/>
      <c r="N152" s="147"/>
      <c r="O152" s="147"/>
      <c r="P152" s="147"/>
      <c r="Q152" s="142">
        <f t="shared" si="28"/>
        <v>491349</v>
      </c>
    </row>
    <row r="153" spans="1:17" s="148" customFormat="1" ht="48" hidden="1">
      <c r="A153" s="146"/>
      <c r="B153" s="146"/>
      <c r="C153" s="146"/>
      <c r="D153" s="146"/>
      <c r="E153" s="135" t="s">
        <v>895</v>
      </c>
      <c r="F153" s="147">
        <f t="shared" si="26"/>
        <v>0</v>
      </c>
      <c r="G153" s="147"/>
      <c r="H153" s="147"/>
      <c r="I153" s="147"/>
      <c r="J153" s="147"/>
      <c r="K153" s="147">
        <f t="shared" si="27"/>
        <v>0</v>
      </c>
      <c r="L153" s="147"/>
      <c r="M153" s="147"/>
      <c r="N153" s="147"/>
      <c r="O153" s="147"/>
      <c r="P153" s="147"/>
      <c r="Q153" s="147">
        <f t="shared" si="28"/>
        <v>0</v>
      </c>
    </row>
    <row r="154" spans="1:17" ht="30" customHeight="1">
      <c r="A154" s="50" t="s">
        <v>478</v>
      </c>
      <c r="B154" s="50" t="s">
        <v>477</v>
      </c>
      <c r="C154" s="50" t="s">
        <v>1029</v>
      </c>
      <c r="D154" s="50" t="s">
        <v>594</v>
      </c>
      <c r="E154" s="48" t="s">
        <v>561</v>
      </c>
      <c r="F154" s="26">
        <f t="shared" si="26"/>
        <v>220526277</v>
      </c>
      <c r="G154" s="27">
        <f>211167770-1000000+(25000)-(10300)+(4000)+927010+(22200)+(15000)+10211207+(10000)+(5000)+4000-3809292+(31050)+1141884+(24600)-2198441-(100)+3955689</f>
        <v>220526277</v>
      </c>
      <c r="H154" s="27"/>
      <c r="I154" s="27"/>
      <c r="J154" s="27"/>
      <c r="K154" s="26">
        <f t="shared" si="27"/>
        <v>14923345</v>
      </c>
      <c r="L154" s="27">
        <v>2618159</v>
      </c>
      <c r="M154" s="27"/>
      <c r="N154" s="27"/>
      <c r="O154" s="27">
        <f>P154</f>
        <v>12305186</v>
      </c>
      <c r="P154" s="27">
        <f>7599625+1109160+1219098+1268740+(16300)-421639+(46400)-1267431+1066475+(10000)-307015+(20000)+40000-588657+2580545+(6000)-92515+(100)</f>
        <v>12305186</v>
      </c>
      <c r="Q154" s="26">
        <f t="shared" si="28"/>
        <v>235449622</v>
      </c>
    </row>
    <row r="155" spans="1:17" s="148" customFormat="1" ht="12.75">
      <c r="A155" s="146"/>
      <c r="B155" s="146"/>
      <c r="C155" s="146"/>
      <c r="D155" s="146"/>
      <c r="E155" s="136" t="s">
        <v>896</v>
      </c>
      <c r="F155" s="142">
        <f t="shared" si="26"/>
        <v>142044937</v>
      </c>
      <c r="G155" s="147">
        <f>146327692-4282755</f>
        <v>142044937</v>
      </c>
      <c r="H155" s="147"/>
      <c r="I155" s="147"/>
      <c r="J155" s="147"/>
      <c r="K155" s="26">
        <f t="shared" si="27"/>
        <v>0</v>
      </c>
      <c r="L155" s="147"/>
      <c r="M155" s="147"/>
      <c r="N155" s="147"/>
      <c r="O155" s="147"/>
      <c r="P155" s="147"/>
      <c r="Q155" s="142">
        <f t="shared" si="28"/>
        <v>142044937</v>
      </c>
    </row>
    <row r="156" spans="1:17" s="148" customFormat="1" ht="48" hidden="1">
      <c r="A156" s="146"/>
      <c r="B156" s="146"/>
      <c r="C156" s="146"/>
      <c r="D156" s="146"/>
      <c r="E156" s="135" t="s">
        <v>895</v>
      </c>
      <c r="F156" s="147">
        <f>G156+J156</f>
        <v>0</v>
      </c>
      <c r="G156" s="147"/>
      <c r="H156" s="147"/>
      <c r="I156" s="147"/>
      <c r="J156" s="147"/>
      <c r="K156" s="26">
        <f t="shared" si="27"/>
        <v>0</v>
      </c>
      <c r="L156" s="147"/>
      <c r="M156" s="147"/>
      <c r="N156" s="147"/>
      <c r="O156" s="147"/>
      <c r="P156" s="147"/>
      <c r="Q156" s="142">
        <f t="shared" si="28"/>
        <v>0</v>
      </c>
    </row>
    <row r="157" spans="1:17" s="148" customFormat="1" ht="60">
      <c r="A157" s="146"/>
      <c r="B157" s="146"/>
      <c r="C157" s="146"/>
      <c r="D157" s="146"/>
      <c r="E157" s="136" t="s">
        <v>865</v>
      </c>
      <c r="F157" s="147"/>
      <c r="G157" s="147"/>
      <c r="H157" s="147"/>
      <c r="I157" s="147"/>
      <c r="J157" s="147"/>
      <c r="K157" s="26">
        <f t="shared" si="27"/>
        <v>2272374</v>
      </c>
      <c r="L157" s="147"/>
      <c r="M157" s="147"/>
      <c r="N157" s="147"/>
      <c r="O157" s="147">
        <f>P157</f>
        <v>2272374</v>
      </c>
      <c r="P157" s="147">
        <v>2272374</v>
      </c>
      <c r="Q157" s="142">
        <f t="shared" si="28"/>
        <v>2272374</v>
      </c>
    </row>
    <row r="158" spans="1:17" s="148" customFormat="1" ht="48">
      <c r="A158" s="146"/>
      <c r="B158" s="146"/>
      <c r="C158" s="146"/>
      <c r="D158" s="146"/>
      <c r="E158" s="136" t="s">
        <v>1211</v>
      </c>
      <c r="F158" s="147">
        <f>G158</f>
        <v>14166896</v>
      </c>
      <c r="G158" s="147">
        <f>10211207+3955689</f>
        <v>14166896</v>
      </c>
      <c r="H158" s="147"/>
      <c r="I158" s="147"/>
      <c r="J158" s="147"/>
      <c r="K158" s="147"/>
      <c r="L158" s="147"/>
      <c r="M158" s="147"/>
      <c r="N158" s="147"/>
      <c r="O158" s="147"/>
      <c r="P158" s="147"/>
      <c r="Q158" s="142">
        <f t="shared" si="28"/>
        <v>14166896</v>
      </c>
    </row>
    <row r="159" spans="1:17" ht="63.75">
      <c r="A159" s="50" t="s">
        <v>214</v>
      </c>
      <c r="B159" s="28" t="s">
        <v>44</v>
      </c>
      <c r="C159" s="50" t="s">
        <v>1030</v>
      </c>
      <c r="D159" s="50" t="s">
        <v>595</v>
      </c>
      <c r="E159" s="48" t="s">
        <v>1189</v>
      </c>
      <c r="F159" s="26">
        <f>G159+J159</f>
        <v>3155046</v>
      </c>
      <c r="G159" s="27">
        <f>2930726+224320</f>
        <v>3155046</v>
      </c>
      <c r="H159" s="27"/>
      <c r="I159" s="27"/>
      <c r="J159" s="27"/>
      <c r="K159" s="26">
        <f>L159+O159</f>
        <v>0</v>
      </c>
      <c r="L159" s="27"/>
      <c r="M159" s="27"/>
      <c r="N159" s="27"/>
      <c r="O159" s="27"/>
      <c r="P159" s="27"/>
      <c r="Q159" s="26">
        <f>F159+K159</f>
        <v>3155046</v>
      </c>
    </row>
    <row r="160" spans="1:17" ht="38.25" hidden="1">
      <c r="A160" s="50" t="s">
        <v>358</v>
      </c>
      <c r="B160" s="28" t="s">
        <v>45</v>
      </c>
      <c r="C160" s="50" t="s">
        <v>1031</v>
      </c>
      <c r="D160" s="28"/>
      <c r="E160" s="137" t="s">
        <v>215</v>
      </c>
      <c r="F160" s="26">
        <f>G160+J160</f>
        <v>0</v>
      </c>
      <c r="G160" s="27"/>
      <c r="H160" s="27"/>
      <c r="I160" s="27"/>
      <c r="J160" s="27"/>
      <c r="K160" s="26">
        <f>L160+O160</f>
        <v>0</v>
      </c>
      <c r="L160" s="27"/>
      <c r="M160" s="27"/>
      <c r="N160" s="27"/>
      <c r="O160" s="27"/>
      <c r="P160" s="27"/>
      <c r="Q160" s="26">
        <f>F160+K160</f>
        <v>0</v>
      </c>
    </row>
    <row r="161" spans="1:17" ht="25.5">
      <c r="A161" s="112" t="s">
        <v>358</v>
      </c>
      <c r="B161" s="112"/>
      <c r="C161" s="112" t="s">
        <v>1031</v>
      </c>
      <c r="D161" s="112"/>
      <c r="E161" s="115" t="s">
        <v>678</v>
      </c>
      <c r="F161" s="114">
        <f>G161+J161</f>
        <v>1536749</v>
      </c>
      <c r="G161" s="114">
        <f>G162</f>
        <v>1536749</v>
      </c>
      <c r="H161" s="114">
        <f>H162</f>
        <v>0</v>
      </c>
      <c r="I161" s="114">
        <f>I162</f>
        <v>0</v>
      </c>
      <c r="J161" s="114">
        <f>J162</f>
        <v>0</v>
      </c>
      <c r="K161" s="114">
        <f>K162</f>
        <v>0</v>
      </c>
      <c r="L161" s="114"/>
      <c r="M161" s="114">
        <f>M162</f>
        <v>0</v>
      </c>
      <c r="N161" s="114">
        <f>N162</f>
        <v>0</v>
      </c>
      <c r="O161" s="114">
        <f>O162</f>
        <v>0</v>
      </c>
      <c r="P161" s="114">
        <f>P162</f>
        <v>0</v>
      </c>
      <c r="Q161" s="114">
        <f>F161+K161</f>
        <v>1536749</v>
      </c>
    </row>
    <row r="162" spans="1:17" ht="42" customHeight="1">
      <c r="A162" s="50" t="s">
        <v>540</v>
      </c>
      <c r="B162" s="28" t="s">
        <v>84</v>
      </c>
      <c r="C162" s="50" t="s">
        <v>1032</v>
      </c>
      <c r="D162" s="50" t="s">
        <v>595</v>
      </c>
      <c r="E162" s="25" t="s">
        <v>102</v>
      </c>
      <c r="F162" s="26">
        <f>G162+J162</f>
        <v>1536749</v>
      </c>
      <c r="G162" s="27">
        <f>8853109-7316360</f>
        <v>1536749</v>
      </c>
      <c r="H162" s="27"/>
      <c r="I162" s="27"/>
      <c r="J162" s="27"/>
      <c r="K162" s="26">
        <f>L162+O162</f>
        <v>0</v>
      </c>
      <c r="L162" s="27"/>
      <c r="M162" s="27"/>
      <c r="N162" s="27"/>
      <c r="O162" s="27"/>
      <c r="P162" s="27"/>
      <c r="Q162" s="26">
        <f>F162+K162</f>
        <v>1536749</v>
      </c>
    </row>
    <row r="163" spans="1:17" ht="12.75">
      <c r="A163" s="85" t="s">
        <v>537</v>
      </c>
      <c r="B163" s="85" t="s">
        <v>43</v>
      </c>
      <c r="C163" s="85" t="s">
        <v>1033</v>
      </c>
      <c r="D163" s="85" t="s">
        <v>595</v>
      </c>
      <c r="E163" s="87" t="s">
        <v>450</v>
      </c>
      <c r="F163" s="88">
        <f t="shared" si="26"/>
        <v>2229686</v>
      </c>
      <c r="G163" s="88">
        <f>G164+G166+G165</f>
        <v>2229686</v>
      </c>
      <c r="H163" s="88">
        <f>H164+H166+H165</f>
        <v>0</v>
      </c>
      <c r="I163" s="88">
        <f>I164+I166+I165</f>
        <v>0</v>
      </c>
      <c r="J163" s="88">
        <f>J164+J166+J165</f>
        <v>0</v>
      </c>
      <c r="K163" s="26">
        <f t="shared" si="27"/>
        <v>0</v>
      </c>
      <c r="L163" s="88">
        <f>L164+L166</f>
        <v>0</v>
      </c>
      <c r="M163" s="88">
        <f>M164+M166</f>
        <v>0</v>
      </c>
      <c r="N163" s="88">
        <f>N164+N166</f>
        <v>0</v>
      </c>
      <c r="O163" s="88">
        <f>O164+O166</f>
        <v>0</v>
      </c>
      <c r="P163" s="88">
        <f>P164+P166</f>
        <v>0</v>
      </c>
      <c r="Q163" s="88">
        <f t="shared" si="28"/>
        <v>2229686</v>
      </c>
    </row>
    <row r="164" spans="1:17" ht="92.25" customHeight="1" hidden="1">
      <c r="A164" s="50" t="s">
        <v>538</v>
      </c>
      <c r="B164" s="28" t="s">
        <v>43</v>
      </c>
      <c r="C164" s="50" t="s">
        <v>1034</v>
      </c>
      <c r="D164" s="50" t="s">
        <v>595</v>
      </c>
      <c r="E164" s="48" t="s">
        <v>410</v>
      </c>
      <c r="F164" s="26">
        <f t="shared" si="26"/>
        <v>0</v>
      </c>
      <c r="G164" s="27"/>
      <c r="H164" s="27"/>
      <c r="I164" s="27"/>
      <c r="J164" s="27"/>
      <c r="K164" s="26">
        <f t="shared" si="27"/>
        <v>0</v>
      </c>
      <c r="L164" s="27"/>
      <c r="M164" s="27"/>
      <c r="N164" s="27"/>
      <c r="O164" s="27"/>
      <c r="P164" s="27"/>
      <c r="Q164" s="26">
        <f t="shared" si="28"/>
        <v>0</v>
      </c>
    </row>
    <row r="165" spans="1:17" s="169" customFormat="1" ht="12.75" hidden="1">
      <c r="A165" s="166"/>
      <c r="B165" s="166"/>
      <c r="C165" s="166"/>
      <c r="D165" s="166"/>
      <c r="E165" s="167" t="s">
        <v>1225</v>
      </c>
      <c r="F165" s="168"/>
      <c r="G165" s="168">
        <v>866500</v>
      </c>
      <c r="H165" s="168"/>
      <c r="I165" s="168"/>
      <c r="J165" s="168"/>
      <c r="K165" s="168"/>
      <c r="L165" s="168"/>
      <c r="M165" s="168"/>
      <c r="N165" s="168"/>
      <c r="O165" s="168"/>
      <c r="P165" s="168"/>
      <c r="Q165" s="168"/>
    </row>
    <row r="166" spans="1:17" s="169" customFormat="1" ht="51" hidden="1">
      <c r="A166" s="166" t="s">
        <v>539</v>
      </c>
      <c r="B166" s="166" t="s">
        <v>43</v>
      </c>
      <c r="C166" s="166" t="s">
        <v>1035</v>
      </c>
      <c r="D166" s="166" t="s">
        <v>595</v>
      </c>
      <c r="E166" s="167" t="s">
        <v>412</v>
      </c>
      <c r="F166" s="168">
        <f t="shared" si="26"/>
        <v>1363186</v>
      </c>
      <c r="G166" s="168">
        <f>1355715+7471</f>
        <v>1363186</v>
      </c>
      <c r="H166" s="168"/>
      <c r="I166" s="168"/>
      <c r="J166" s="168"/>
      <c r="K166" s="168">
        <f t="shared" si="27"/>
        <v>0</v>
      </c>
      <c r="L166" s="168"/>
      <c r="M166" s="168"/>
      <c r="N166" s="168"/>
      <c r="O166" s="168"/>
      <c r="P166" s="168"/>
      <c r="Q166" s="168">
        <f t="shared" si="28"/>
        <v>1363186</v>
      </c>
    </row>
    <row r="167" spans="1:17" s="148" customFormat="1" ht="12.75">
      <c r="A167" s="146"/>
      <c r="B167" s="146"/>
      <c r="C167" s="146"/>
      <c r="D167" s="146"/>
      <c r="E167" s="136" t="s">
        <v>896</v>
      </c>
      <c r="F167" s="142">
        <f t="shared" si="26"/>
        <v>1279103</v>
      </c>
      <c r="G167" s="147">
        <f>1275939+3164</f>
        <v>1279103</v>
      </c>
      <c r="H167" s="147"/>
      <c r="I167" s="147"/>
      <c r="J167" s="147"/>
      <c r="K167" s="142">
        <f t="shared" si="27"/>
        <v>0</v>
      </c>
      <c r="L167" s="147"/>
      <c r="M167" s="147"/>
      <c r="N167" s="147"/>
      <c r="O167" s="147"/>
      <c r="P167" s="147"/>
      <c r="Q167" s="142">
        <f t="shared" si="28"/>
        <v>1279103</v>
      </c>
    </row>
    <row r="168" spans="1:17" s="148" customFormat="1" ht="48" hidden="1">
      <c r="A168" s="146"/>
      <c r="B168" s="146"/>
      <c r="C168" s="146"/>
      <c r="D168" s="146"/>
      <c r="E168" s="135" t="s">
        <v>895</v>
      </c>
      <c r="F168" s="147">
        <f t="shared" si="26"/>
        <v>0</v>
      </c>
      <c r="G168" s="147"/>
      <c r="H168" s="147"/>
      <c r="I168" s="147"/>
      <c r="J168" s="147"/>
      <c r="K168" s="147">
        <f t="shared" si="27"/>
        <v>0</v>
      </c>
      <c r="L168" s="147"/>
      <c r="M168" s="147"/>
      <c r="N168" s="147"/>
      <c r="O168" s="147"/>
      <c r="P168" s="147"/>
      <c r="Q168" s="147">
        <f t="shared" si="28"/>
        <v>0</v>
      </c>
    </row>
    <row r="169" spans="1:17" ht="12.75">
      <c r="A169" s="112" t="s">
        <v>639</v>
      </c>
      <c r="B169" s="112" t="s">
        <v>628</v>
      </c>
      <c r="C169" s="112" t="s">
        <v>1020</v>
      </c>
      <c r="D169" s="112"/>
      <c r="E169" s="115" t="s">
        <v>630</v>
      </c>
      <c r="F169" s="26">
        <f t="shared" si="26"/>
        <v>0</v>
      </c>
      <c r="G169" s="114">
        <f>G170</f>
        <v>0</v>
      </c>
      <c r="H169" s="114">
        <f>H170</f>
        <v>0</v>
      </c>
      <c r="I169" s="114">
        <f>I170</f>
        <v>0</v>
      </c>
      <c r="J169" s="114">
        <f>J170</f>
        <v>0</v>
      </c>
      <c r="K169" s="114">
        <f t="shared" si="27"/>
        <v>19320195</v>
      </c>
      <c r="L169" s="114">
        <f>L170</f>
        <v>0</v>
      </c>
      <c r="M169" s="114">
        <f>M170</f>
        <v>0</v>
      </c>
      <c r="N169" s="114">
        <f>N170</f>
        <v>0</v>
      </c>
      <c r="O169" s="114">
        <f>O170</f>
        <v>19320195</v>
      </c>
      <c r="P169" s="114">
        <f>P170</f>
        <v>19320195</v>
      </c>
      <c r="Q169" s="114">
        <f t="shared" si="28"/>
        <v>19320195</v>
      </c>
    </row>
    <row r="170" spans="1:18" s="43" customFormat="1" ht="25.5">
      <c r="A170" s="50" t="s">
        <v>216</v>
      </c>
      <c r="B170" s="28" t="s">
        <v>87</v>
      </c>
      <c r="C170" s="50" t="s">
        <v>980</v>
      </c>
      <c r="D170" s="50" t="s">
        <v>576</v>
      </c>
      <c r="E170" s="48" t="s">
        <v>174</v>
      </c>
      <c r="F170" s="26">
        <f t="shared" si="26"/>
        <v>0</v>
      </c>
      <c r="G170" s="27"/>
      <c r="H170" s="27"/>
      <c r="I170" s="27"/>
      <c r="J170" s="27"/>
      <c r="K170" s="26">
        <f t="shared" si="27"/>
        <v>19320195</v>
      </c>
      <c r="L170" s="27"/>
      <c r="M170" s="27"/>
      <c r="N170" s="27"/>
      <c r="O170" s="27">
        <f>P170</f>
        <v>19320195</v>
      </c>
      <c r="P170" s="27">
        <f>7138160+23118915+1165000-4812522-348344-3777363-1600000-500000-1000000-63651</f>
        <v>19320195</v>
      </c>
      <c r="Q170" s="26">
        <f t="shared" si="28"/>
        <v>19320195</v>
      </c>
      <c r="R170" s="193"/>
    </row>
    <row r="171" spans="1:17" s="143" customFormat="1" ht="60" hidden="1">
      <c r="A171" s="146"/>
      <c r="B171" s="146"/>
      <c r="C171" s="146"/>
      <c r="D171" s="146"/>
      <c r="E171" s="136" t="s">
        <v>865</v>
      </c>
      <c r="F171" s="142">
        <f t="shared" si="26"/>
        <v>0</v>
      </c>
      <c r="G171" s="147"/>
      <c r="H171" s="147"/>
      <c r="I171" s="147"/>
      <c r="J171" s="147"/>
      <c r="K171" s="142">
        <f t="shared" si="27"/>
        <v>0</v>
      </c>
      <c r="L171" s="147"/>
      <c r="M171" s="147"/>
      <c r="N171" s="147"/>
      <c r="O171" s="147"/>
      <c r="P171" s="147"/>
      <c r="Q171" s="142">
        <f t="shared" si="28"/>
        <v>0</v>
      </c>
    </row>
    <row r="172" spans="1:20" s="2" customFormat="1" ht="39.75" customHeight="1">
      <c r="A172" s="62" t="s">
        <v>217</v>
      </c>
      <c r="B172" s="62" t="s">
        <v>155</v>
      </c>
      <c r="C172" s="62" t="s">
        <v>155</v>
      </c>
      <c r="D172" s="62"/>
      <c r="E172" s="61" t="s">
        <v>133</v>
      </c>
      <c r="F172" s="200">
        <f>G172+J172</f>
        <v>1869656510.2</v>
      </c>
      <c r="G172" s="200">
        <f>G173</f>
        <v>1869656510.2</v>
      </c>
      <c r="H172" s="39">
        <f>H173</f>
        <v>88757008</v>
      </c>
      <c r="I172" s="39">
        <f>I173</f>
        <v>4442362</v>
      </c>
      <c r="J172" s="39">
        <f>J173</f>
        <v>0</v>
      </c>
      <c r="K172" s="39">
        <f>L172+O172</f>
        <v>7857967</v>
      </c>
      <c r="L172" s="39">
        <f>L173</f>
        <v>160863</v>
      </c>
      <c r="M172" s="39">
        <f>M173</f>
        <v>103990</v>
      </c>
      <c r="N172" s="39">
        <f>N173</f>
        <v>0</v>
      </c>
      <c r="O172" s="39">
        <f>O173</f>
        <v>7697104</v>
      </c>
      <c r="P172" s="203">
        <f>P173</f>
        <v>7697104</v>
      </c>
      <c r="Q172" s="203">
        <f>F172+K172</f>
        <v>1877514477.2</v>
      </c>
      <c r="R172" s="191"/>
      <c r="T172" s="191">
        <f>S172-R172</f>
        <v>0</v>
      </c>
    </row>
    <row r="173" spans="1:17" s="2" customFormat="1" ht="25.5">
      <c r="A173" s="59" t="s">
        <v>218</v>
      </c>
      <c r="B173" s="31"/>
      <c r="C173" s="31"/>
      <c r="D173" s="31"/>
      <c r="E173" s="49" t="s">
        <v>133</v>
      </c>
      <c r="F173" s="133">
        <f>G173+J173</f>
        <v>1869656510.2</v>
      </c>
      <c r="G173" s="133">
        <f>G174+G176+G179+G253+G251</f>
        <v>1869656510.2</v>
      </c>
      <c r="H173" s="26">
        <f>H174+H176+H179+H253+H251</f>
        <v>88757008</v>
      </c>
      <c r="I173" s="26">
        <f>I174+I176+I179+I253+I251</f>
        <v>4442362</v>
      </c>
      <c r="J173" s="26">
        <f>J174+J176+J179+J253+J251</f>
        <v>0</v>
      </c>
      <c r="K173" s="26">
        <f>L173+O173</f>
        <v>7857967</v>
      </c>
      <c r="L173" s="26">
        <f>L174+L176+L179+L253+L251</f>
        <v>160863</v>
      </c>
      <c r="M173" s="26">
        <f>M174+M176+M179+M253+M251</f>
        <v>103990</v>
      </c>
      <c r="N173" s="26">
        <f>N174+N176+N179+N253+N251</f>
        <v>0</v>
      </c>
      <c r="O173" s="26">
        <f>O174+O176+O179+O253+O251</f>
        <v>7697104</v>
      </c>
      <c r="P173" s="27">
        <f>P174+P176+P179+P253+P251</f>
        <v>7697104</v>
      </c>
      <c r="Q173" s="133">
        <f>F173+K173</f>
        <v>1877514477.2</v>
      </c>
    </row>
    <row r="174" spans="1:17" s="2" customFormat="1" ht="12.75">
      <c r="A174" s="112" t="s">
        <v>679</v>
      </c>
      <c r="B174" s="111" t="s">
        <v>671</v>
      </c>
      <c r="C174" s="111" t="s">
        <v>972</v>
      </c>
      <c r="D174" s="111"/>
      <c r="E174" s="127" t="s">
        <v>673</v>
      </c>
      <c r="F174" s="26">
        <f aca="true" t="shared" si="29" ref="F174:F252">G174+J174</f>
        <v>82804731</v>
      </c>
      <c r="G174" s="123">
        <f>G175</f>
        <v>82804731</v>
      </c>
      <c r="H174" s="123">
        <f>H175</f>
        <v>62394084</v>
      </c>
      <c r="I174" s="123">
        <f>I175</f>
        <v>1601758</v>
      </c>
      <c r="J174" s="123">
        <f>J175</f>
        <v>0</v>
      </c>
      <c r="K174" s="26">
        <f aca="true" t="shared" si="30" ref="K174:K252">L174+O174</f>
        <v>3080496</v>
      </c>
      <c r="L174" s="123">
        <f>L175</f>
        <v>0</v>
      </c>
      <c r="M174" s="123">
        <f>M175</f>
        <v>0</v>
      </c>
      <c r="N174" s="123">
        <f>N175</f>
        <v>0</v>
      </c>
      <c r="O174" s="123">
        <f>O175</f>
        <v>3080496</v>
      </c>
      <c r="P174" s="123">
        <f>P175</f>
        <v>3080496</v>
      </c>
      <c r="Q174" s="26">
        <f aca="true" t="shared" si="31" ref="Q174:Q252">F174+K174</f>
        <v>85885227</v>
      </c>
    </row>
    <row r="175" spans="1:17" s="2" customFormat="1" ht="25.5">
      <c r="A175" s="28" t="s">
        <v>3</v>
      </c>
      <c r="B175" s="28" t="s">
        <v>33</v>
      </c>
      <c r="C175" s="50" t="s">
        <v>613</v>
      </c>
      <c r="D175" s="28" t="s">
        <v>574</v>
      </c>
      <c r="E175" s="44" t="s">
        <v>307</v>
      </c>
      <c r="F175" s="26">
        <f t="shared" si="29"/>
        <v>82804731</v>
      </c>
      <c r="G175" s="27">
        <f>68307883+3767836+10567042+161970</f>
        <v>82804731</v>
      </c>
      <c r="H175" s="27">
        <f>51297302+2351804+8611518+133460</f>
        <v>62394084</v>
      </c>
      <c r="I175" s="27">
        <v>1601758</v>
      </c>
      <c r="J175" s="27"/>
      <c r="K175" s="26">
        <f t="shared" si="30"/>
        <v>3080496</v>
      </c>
      <c r="L175" s="27"/>
      <c r="M175" s="27"/>
      <c r="N175" s="27"/>
      <c r="O175" s="27">
        <f>P175</f>
        <v>3080496</v>
      </c>
      <c r="P175" s="27">
        <f>1174764+1225873+230880+386579+62400</f>
        <v>3080496</v>
      </c>
      <c r="Q175" s="26">
        <f t="shared" si="31"/>
        <v>85885227</v>
      </c>
    </row>
    <row r="176" spans="1:17" s="2" customFormat="1" ht="12.75">
      <c r="A176" s="116" t="s">
        <v>640</v>
      </c>
      <c r="B176" s="117" t="s">
        <v>620</v>
      </c>
      <c r="C176" s="117" t="s">
        <v>1036</v>
      </c>
      <c r="D176" s="117"/>
      <c r="E176" s="118" t="s">
        <v>622</v>
      </c>
      <c r="F176" s="26">
        <f t="shared" si="29"/>
        <v>3129152</v>
      </c>
      <c r="G176" s="119">
        <f>G177</f>
        <v>3129152</v>
      </c>
      <c r="H176" s="119">
        <f>H177</f>
        <v>0</v>
      </c>
      <c r="I176" s="119">
        <f>I177</f>
        <v>0</v>
      </c>
      <c r="J176" s="119">
        <f>J177</f>
        <v>0</v>
      </c>
      <c r="K176" s="26">
        <f t="shared" si="30"/>
        <v>0</v>
      </c>
      <c r="L176" s="119">
        <f>L177</f>
        <v>0</v>
      </c>
      <c r="M176" s="119">
        <f>M177</f>
        <v>0</v>
      </c>
      <c r="N176" s="119">
        <f>N177</f>
        <v>0</v>
      </c>
      <c r="O176" s="119">
        <f>O177</f>
        <v>0</v>
      </c>
      <c r="P176" s="119">
        <f>P177</f>
        <v>0</v>
      </c>
      <c r="Q176" s="26">
        <f t="shared" si="31"/>
        <v>3129152</v>
      </c>
    </row>
    <row r="177" spans="1:17" s="2" customFormat="1" ht="91.5" customHeight="1">
      <c r="A177" s="7" t="s">
        <v>541</v>
      </c>
      <c r="B177" s="7" t="s">
        <v>31</v>
      </c>
      <c r="C177" s="7" t="s">
        <v>588</v>
      </c>
      <c r="D177" s="7" t="s">
        <v>578</v>
      </c>
      <c r="E177" s="10" t="s">
        <v>1179</v>
      </c>
      <c r="F177" s="26">
        <f t="shared" si="29"/>
        <v>3129152</v>
      </c>
      <c r="G177" s="18">
        <v>3129152</v>
      </c>
      <c r="H177" s="18"/>
      <c r="I177" s="18"/>
      <c r="J177" s="18"/>
      <c r="K177" s="26">
        <f t="shared" si="30"/>
        <v>0</v>
      </c>
      <c r="L177" s="18"/>
      <c r="M177" s="18"/>
      <c r="N177" s="18"/>
      <c r="O177" s="18"/>
      <c r="P177" s="18"/>
      <c r="Q177" s="26">
        <f t="shared" si="31"/>
        <v>3129152</v>
      </c>
    </row>
    <row r="178" spans="1:17" s="143" customFormat="1" ht="24">
      <c r="A178" s="138"/>
      <c r="B178" s="139"/>
      <c r="C178" s="139"/>
      <c r="D178" s="139"/>
      <c r="E178" s="140" t="s">
        <v>899</v>
      </c>
      <c r="F178" s="141">
        <f t="shared" si="29"/>
        <v>3129152</v>
      </c>
      <c r="G178" s="141">
        <v>3129152</v>
      </c>
      <c r="H178" s="141"/>
      <c r="I178" s="141"/>
      <c r="J178" s="141"/>
      <c r="K178" s="142"/>
      <c r="L178" s="141"/>
      <c r="M178" s="141"/>
      <c r="N178" s="141"/>
      <c r="O178" s="141"/>
      <c r="P178" s="141"/>
      <c r="Q178" s="141">
        <f t="shared" si="31"/>
        <v>3129152</v>
      </c>
    </row>
    <row r="179" spans="1:17" s="2" customFormat="1" ht="25.5">
      <c r="A179" s="116" t="s">
        <v>641</v>
      </c>
      <c r="B179" s="116" t="s">
        <v>623</v>
      </c>
      <c r="C179" s="116" t="s">
        <v>1104</v>
      </c>
      <c r="D179" s="116"/>
      <c r="E179" s="120" t="s">
        <v>625</v>
      </c>
      <c r="F179" s="133">
        <f>G179+J179</f>
        <v>1783722627.2</v>
      </c>
      <c r="G179" s="134">
        <f>G180+G194+G208+G216+G235+G237+G239+G240+G243+G244+G245+G247+G249</f>
        <v>1783722627.2</v>
      </c>
      <c r="H179" s="121">
        <f>H180+H194+H208+H216+H235+H237+H239+H240+H243+H244+H245+H247+H249</f>
        <v>26362924</v>
      </c>
      <c r="I179" s="121">
        <f>I180+I194+I208+I216+I235+I237+I239+I240+I243+I244+I245+I247+I249</f>
        <v>2840604</v>
      </c>
      <c r="J179" s="121">
        <f>J180+J194+J208+J216+J235+J237+J239+J240+J243+J244+J245+J247+J249</f>
        <v>0</v>
      </c>
      <c r="K179" s="26">
        <f t="shared" si="30"/>
        <v>2240423</v>
      </c>
      <c r="L179" s="121">
        <f>L180+L194+L208+L216+L235+L237+L239+L240+L243+L244+L245+L247+L249</f>
        <v>160863</v>
      </c>
      <c r="M179" s="121">
        <f>M180+M194+M208+M216+M235+M237+M239+M240+M243+M244+M245+M247+M249</f>
        <v>103990</v>
      </c>
      <c r="N179" s="121">
        <f>N180+N194+N208+N216+N235+N237+N239+N240+N243+N244+N245+N247+N249</f>
        <v>0</v>
      </c>
      <c r="O179" s="121">
        <f>O180+O194+O208+O216+O235+O237+O239+O240+O243+O244+O245+O247+O249</f>
        <v>2079560</v>
      </c>
      <c r="P179" s="121">
        <f>P180+P194+P208+P216+P235+P237+P239+P240+P243+P244+P245+P247+P249</f>
        <v>2079560</v>
      </c>
      <c r="Q179" s="133">
        <f t="shared" si="31"/>
        <v>1785963050.2</v>
      </c>
    </row>
    <row r="180" spans="1:17" s="2" customFormat="1" ht="87.75" customHeight="1">
      <c r="A180" s="116" t="s">
        <v>644</v>
      </c>
      <c r="B180" s="116"/>
      <c r="C180" s="116" t="s">
        <v>1037</v>
      </c>
      <c r="D180" s="116"/>
      <c r="E180" s="120" t="s">
        <v>645</v>
      </c>
      <c r="F180" s="133">
        <f t="shared" si="29"/>
        <v>872379029.2</v>
      </c>
      <c r="G180" s="134">
        <f>G181+G183+G186+G188+G190+G192</f>
        <v>872379029.2</v>
      </c>
      <c r="H180" s="121">
        <f>H181+H183+H186+H188+H190+H192</f>
        <v>0</v>
      </c>
      <c r="I180" s="121">
        <f>I181+I183+I186+I188+I190+I192</f>
        <v>0</v>
      </c>
      <c r="J180" s="121">
        <f>J181+J183+J186+J188+J190+J192</f>
        <v>0</v>
      </c>
      <c r="K180" s="26">
        <f t="shared" si="30"/>
        <v>0</v>
      </c>
      <c r="L180" s="121">
        <f>L181+L183+L186+L188+L190+L192</f>
        <v>0</v>
      </c>
      <c r="M180" s="121">
        <f>M181+M183+M186+M188+M190+M192</f>
        <v>0</v>
      </c>
      <c r="N180" s="121">
        <f>N181+N183+N186+N188+N190+N192</f>
        <v>0</v>
      </c>
      <c r="O180" s="121">
        <f>O181+O183+O186+O188+O190+O192</f>
        <v>0</v>
      </c>
      <c r="P180" s="121">
        <f>P181+P183+P186+P188+P190+P192</f>
        <v>0</v>
      </c>
      <c r="Q180" s="133">
        <f t="shared" si="31"/>
        <v>872379029.2</v>
      </c>
    </row>
    <row r="181" spans="1:17" s="2" customFormat="1" ht="214.5" customHeight="1">
      <c r="A181" s="7" t="s">
        <v>334</v>
      </c>
      <c r="B181" s="7" t="s">
        <v>74</v>
      </c>
      <c r="C181" s="7" t="s">
        <v>1038</v>
      </c>
      <c r="D181" s="7" t="s">
        <v>596</v>
      </c>
      <c r="E181" s="29" t="s">
        <v>219</v>
      </c>
      <c r="F181" s="133">
        <f t="shared" si="29"/>
        <v>58870273</v>
      </c>
      <c r="G181" s="195">
        <f>42083500-3602063-1997164.64+22386000.64</f>
        <v>58870273</v>
      </c>
      <c r="H181" s="195"/>
      <c r="I181" s="195"/>
      <c r="J181" s="195"/>
      <c r="K181" s="133">
        <f t="shared" si="30"/>
        <v>0</v>
      </c>
      <c r="L181" s="195"/>
      <c r="M181" s="195"/>
      <c r="N181" s="195"/>
      <c r="O181" s="195"/>
      <c r="P181" s="195"/>
      <c r="Q181" s="133">
        <f t="shared" si="31"/>
        <v>58870273</v>
      </c>
    </row>
    <row r="182" spans="1:17" s="143" customFormat="1" ht="24">
      <c r="A182" s="138"/>
      <c r="B182" s="139"/>
      <c r="C182" s="139"/>
      <c r="D182" s="139"/>
      <c r="E182" s="140" t="s">
        <v>899</v>
      </c>
      <c r="F182" s="196">
        <f t="shared" si="29"/>
        <v>58870273</v>
      </c>
      <c r="G182" s="196">
        <f>G181</f>
        <v>58870273</v>
      </c>
      <c r="H182" s="196"/>
      <c r="I182" s="196"/>
      <c r="J182" s="196"/>
      <c r="K182" s="197"/>
      <c r="L182" s="196"/>
      <c r="M182" s="196"/>
      <c r="N182" s="196"/>
      <c r="O182" s="196"/>
      <c r="P182" s="196"/>
      <c r="Q182" s="196">
        <f t="shared" si="31"/>
        <v>58870273</v>
      </c>
    </row>
    <row r="183" spans="1:17" s="2" customFormat="1" ht="345.75" customHeight="1">
      <c r="A183" s="7" t="s">
        <v>336</v>
      </c>
      <c r="B183" s="55" t="s">
        <v>78</v>
      </c>
      <c r="C183" s="55" t="s">
        <v>1039</v>
      </c>
      <c r="D183" s="55" t="s">
        <v>596</v>
      </c>
      <c r="E183" s="56" t="s">
        <v>1184</v>
      </c>
      <c r="F183" s="133">
        <f t="shared" si="29"/>
        <v>10189692</v>
      </c>
      <c r="G183" s="199">
        <f>5325100+1243527-252935.71+3874000.71</f>
        <v>10189692</v>
      </c>
      <c r="H183" s="199"/>
      <c r="I183" s="199"/>
      <c r="J183" s="199"/>
      <c r="K183" s="133">
        <f t="shared" si="30"/>
        <v>0</v>
      </c>
      <c r="L183" s="199"/>
      <c r="M183" s="199"/>
      <c r="N183" s="199"/>
      <c r="O183" s="199"/>
      <c r="P183" s="199"/>
      <c r="Q183" s="133">
        <f t="shared" si="31"/>
        <v>10189692</v>
      </c>
    </row>
    <row r="184" spans="1:17" s="2" customFormat="1" ht="205.5" customHeight="1">
      <c r="A184" s="53"/>
      <c r="B184" s="53"/>
      <c r="C184" s="53"/>
      <c r="D184" s="53"/>
      <c r="E184" s="58" t="s">
        <v>1185</v>
      </c>
      <c r="F184" s="26">
        <f t="shared" si="29"/>
        <v>0</v>
      </c>
      <c r="G184" s="54"/>
      <c r="H184" s="54"/>
      <c r="I184" s="54"/>
      <c r="J184" s="54"/>
      <c r="K184" s="26">
        <f t="shared" si="30"/>
        <v>0</v>
      </c>
      <c r="L184" s="54"/>
      <c r="M184" s="54"/>
      <c r="N184" s="54"/>
      <c r="O184" s="54"/>
      <c r="P184" s="54"/>
      <c r="Q184" s="26">
        <f t="shared" si="31"/>
        <v>0</v>
      </c>
    </row>
    <row r="185" spans="1:18" s="143" customFormat="1" ht="24">
      <c r="A185" s="138"/>
      <c r="B185" s="139"/>
      <c r="C185" s="139"/>
      <c r="D185" s="139"/>
      <c r="E185" s="140" t="s">
        <v>899</v>
      </c>
      <c r="F185" s="133">
        <f t="shared" si="29"/>
        <v>10189692</v>
      </c>
      <c r="G185" s="196">
        <f>G183</f>
        <v>10189692</v>
      </c>
      <c r="H185" s="196"/>
      <c r="I185" s="196"/>
      <c r="J185" s="196"/>
      <c r="K185" s="197"/>
      <c r="L185" s="196"/>
      <c r="M185" s="196"/>
      <c r="N185" s="196"/>
      <c r="O185" s="196"/>
      <c r="P185" s="196"/>
      <c r="Q185" s="133">
        <f t="shared" si="31"/>
        <v>10189692</v>
      </c>
      <c r="R185" s="198"/>
    </row>
    <row r="186" spans="1:17" s="2" customFormat="1" ht="95.25" customHeight="1">
      <c r="A186" s="7" t="s">
        <v>337</v>
      </c>
      <c r="B186" s="7" t="s">
        <v>80</v>
      </c>
      <c r="C186" s="7" t="s">
        <v>1040</v>
      </c>
      <c r="D186" s="7" t="s">
        <v>597</v>
      </c>
      <c r="E186" s="30" t="s">
        <v>220</v>
      </c>
      <c r="F186" s="133">
        <f t="shared" si="29"/>
        <v>4510646</v>
      </c>
      <c r="G186" s="195">
        <f>2464000+400714+20000-98068.18+1724000.18</f>
        <v>4510646</v>
      </c>
      <c r="H186" s="195"/>
      <c r="I186" s="195"/>
      <c r="J186" s="195"/>
      <c r="K186" s="133">
        <f t="shared" si="30"/>
        <v>0</v>
      </c>
      <c r="L186" s="195"/>
      <c r="M186" s="195"/>
      <c r="N186" s="195"/>
      <c r="O186" s="195"/>
      <c r="P186" s="195"/>
      <c r="Q186" s="133">
        <f t="shared" si="31"/>
        <v>4510646</v>
      </c>
    </row>
    <row r="187" spans="1:17" s="143" customFormat="1" ht="24">
      <c r="A187" s="138"/>
      <c r="B187" s="139"/>
      <c r="C187" s="139"/>
      <c r="D187" s="139"/>
      <c r="E187" s="140" t="s">
        <v>899</v>
      </c>
      <c r="F187" s="196">
        <f t="shared" si="29"/>
        <v>4510646</v>
      </c>
      <c r="G187" s="196">
        <f>G186</f>
        <v>4510646</v>
      </c>
      <c r="H187" s="196"/>
      <c r="I187" s="196"/>
      <c r="J187" s="196"/>
      <c r="K187" s="197"/>
      <c r="L187" s="196"/>
      <c r="M187" s="196"/>
      <c r="N187" s="196"/>
      <c r="O187" s="196"/>
      <c r="P187" s="196"/>
      <c r="Q187" s="196">
        <f t="shared" si="31"/>
        <v>4510646</v>
      </c>
    </row>
    <row r="188" spans="1:17" s="2" customFormat="1" ht="25.5">
      <c r="A188" s="7" t="s">
        <v>341</v>
      </c>
      <c r="B188" s="7" t="s">
        <v>72</v>
      </c>
      <c r="C188" s="7" t="s">
        <v>1041</v>
      </c>
      <c r="D188" s="7" t="s">
        <v>597</v>
      </c>
      <c r="E188" s="10" t="s">
        <v>491</v>
      </c>
      <c r="F188" s="133">
        <f t="shared" si="29"/>
        <v>4758130</v>
      </c>
      <c r="G188" s="195">
        <f>2684000+234861+300000-200731.41+1740000.41</f>
        <v>4758130</v>
      </c>
      <c r="H188" s="195"/>
      <c r="I188" s="195"/>
      <c r="J188" s="195"/>
      <c r="K188" s="133">
        <f t="shared" si="30"/>
        <v>0</v>
      </c>
      <c r="L188" s="195"/>
      <c r="M188" s="195"/>
      <c r="N188" s="195"/>
      <c r="O188" s="195"/>
      <c r="P188" s="195"/>
      <c r="Q188" s="133">
        <f t="shared" si="31"/>
        <v>4758130</v>
      </c>
    </row>
    <row r="189" spans="1:17" s="143" customFormat="1" ht="24">
      <c r="A189" s="138"/>
      <c r="B189" s="139"/>
      <c r="C189" s="139"/>
      <c r="D189" s="139"/>
      <c r="E189" s="140" t="s">
        <v>899</v>
      </c>
      <c r="F189" s="196">
        <f t="shared" si="29"/>
        <v>4758130</v>
      </c>
      <c r="G189" s="196">
        <f>G188</f>
        <v>4758130</v>
      </c>
      <c r="H189" s="196"/>
      <c r="I189" s="196"/>
      <c r="J189" s="196"/>
      <c r="K189" s="197"/>
      <c r="L189" s="196"/>
      <c r="M189" s="196"/>
      <c r="N189" s="196"/>
      <c r="O189" s="196"/>
      <c r="P189" s="196"/>
      <c r="Q189" s="196">
        <f t="shared" si="31"/>
        <v>4758130</v>
      </c>
    </row>
    <row r="190" spans="1:17" ht="38.25">
      <c r="A190" s="7" t="s">
        <v>350</v>
      </c>
      <c r="B190" s="7" t="s">
        <v>62</v>
      </c>
      <c r="C190" s="7" t="s">
        <v>1042</v>
      </c>
      <c r="D190" s="7" t="s">
        <v>588</v>
      </c>
      <c r="E190" s="46" t="s">
        <v>230</v>
      </c>
      <c r="F190" s="133">
        <f t="shared" si="29"/>
        <v>794050288.2</v>
      </c>
      <c r="G190" s="195">
        <f>498788000+24833461-4645400-22028457-1739369.86+298842054.06</f>
        <v>794050288.2</v>
      </c>
      <c r="H190" s="195"/>
      <c r="I190" s="195"/>
      <c r="J190" s="195"/>
      <c r="K190" s="133">
        <f t="shared" si="30"/>
        <v>0</v>
      </c>
      <c r="L190" s="195"/>
      <c r="M190" s="195"/>
      <c r="N190" s="195"/>
      <c r="O190" s="195"/>
      <c r="P190" s="195"/>
      <c r="Q190" s="133">
        <f t="shared" si="31"/>
        <v>794050288.2</v>
      </c>
    </row>
    <row r="191" spans="1:17" s="143" customFormat="1" ht="24">
      <c r="A191" s="138"/>
      <c r="B191" s="139"/>
      <c r="C191" s="139"/>
      <c r="D191" s="139"/>
      <c r="E191" s="140" t="s">
        <v>899</v>
      </c>
      <c r="F191" s="196">
        <f t="shared" si="29"/>
        <v>794050288.2</v>
      </c>
      <c r="G191" s="196">
        <f>G190</f>
        <v>794050288.2</v>
      </c>
      <c r="H191" s="196"/>
      <c r="I191" s="196"/>
      <c r="J191" s="196"/>
      <c r="K191" s="197"/>
      <c r="L191" s="196"/>
      <c r="M191" s="196"/>
      <c r="N191" s="196"/>
      <c r="O191" s="196"/>
      <c r="P191" s="196"/>
      <c r="Q191" s="196">
        <f t="shared" si="31"/>
        <v>794050288.2</v>
      </c>
    </row>
    <row r="192" spans="1:17" ht="63.75" hidden="1">
      <c r="A192" s="7" t="s">
        <v>542</v>
      </c>
      <c r="B192" s="7" t="s">
        <v>510</v>
      </c>
      <c r="C192" s="7" t="s">
        <v>1043</v>
      </c>
      <c r="D192" s="7" t="s">
        <v>588</v>
      </c>
      <c r="E192" s="3" t="s">
        <v>511</v>
      </c>
      <c r="F192" s="26">
        <f t="shared" si="29"/>
        <v>0</v>
      </c>
      <c r="G192" s="18"/>
      <c r="H192" s="18"/>
      <c r="I192" s="18"/>
      <c r="J192" s="18"/>
      <c r="K192" s="26">
        <f t="shared" si="30"/>
        <v>0</v>
      </c>
      <c r="L192" s="18"/>
      <c r="M192" s="18"/>
      <c r="N192" s="18"/>
      <c r="O192" s="18"/>
      <c r="P192" s="18"/>
      <c r="Q192" s="26">
        <f t="shared" si="31"/>
        <v>0</v>
      </c>
    </row>
    <row r="193" spans="1:17" s="143" customFormat="1" ht="24" hidden="1">
      <c r="A193" s="138"/>
      <c r="B193" s="139"/>
      <c r="C193" s="139"/>
      <c r="D193" s="139"/>
      <c r="E193" s="140" t="s">
        <v>899</v>
      </c>
      <c r="F193" s="142"/>
      <c r="G193" s="141"/>
      <c r="H193" s="141"/>
      <c r="I193" s="141"/>
      <c r="J193" s="141"/>
      <c r="K193" s="142"/>
      <c r="L193" s="141"/>
      <c r="M193" s="141"/>
      <c r="N193" s="141"/>
      <c r="O193" s="141"/>
      <c r="P193" s="141"/>
      <c r="Q193" s="142"/>
    </row>
    <row r="194" spans="1:17" ht="51">
      <c r="A194" s="7" t="s">
        <v>647</v>
      </c>
      <c r="B194" s="116"/>
      <c r="C194" s="116" t="s">
        <v>1044</v>
      </c>
      <c r="D194" s="116"/>
      <c r="E194" s="124" t="s">
        <v>1190</v>
      </c>
      <c r="F194" s="26">
        <f t="shared" si="29"/>
        <v>1215822</v>
      </c>
      <c r="G194" s="121">
        <f>G195+G197+G200+G202+G204+G206</f>
        <v>1215822</v>
      </c>
      <c r="H194" s="121">
        <f>H195+H197+H200+H202+H204+H206</f>
        <v>0</v>
      </c>
      <c r="I194" s="121">
        <f>I195+I197+I200+I202+I204+I206</f>
        <v>0</v>
      </c>
      <c r="J194" s="121">
        <f>J195+J197+J200+J202+J204+J206</f>
        <v>0</v>
      </c>
      <c r="K194" s="26">
        <f t="shared" si="30"/>
        <v>0</v>
      </c>
      <c r="L194" s="121">
        <f>L195+L197+L200+L202+L204+L206</f>
        <v>0</v>
      </c>
      <c r="M194" s="121">
        <f>M195+M197+M200+M202+M204+M206</f>
        <v>0</v>
      </c>
      <c r="N194" s="121">
        <f>N195+N197+N200+N202+N204+N206</f>
        <v>0</v>
      </c>
      <c r="O194" s="121">
        <f>O195+O197+O200+O202+O204+O206</f>
        <v>0</v>
      </c>
      <c r="P194" s="121">
        <f>P195+P197+P200+P202+P204+P206</f>
        <v>0</v>
      </c>
      <c r="Q194" s="26">
        <f t="shared" si="31"/>
        <v>1215822</v>
      </c>
    </row>
    <row r="195" spans="1:17" s="2" customFormat="1" ht="180.75" customHeight="1">
      <c r="A195" s="7" t="s">
        <v>359</v>
      </c>
      <c r="B195" s="7" t="s">
        <v>76</v>
      </c>
      <c r="C195" s="7" t="s">
        <v>1045</v>
      </c>
      <c r="D195" s="7" t="s">
        <v>596</v>
      </c>
      <c r="E195" s="29" t="s">
        <v>761</v>
      </c>
      <c r="F195" s="26">
        <f t="shared" si="29"/>
        <v>156254</v>
      </c>
      <c r="G195" s="18">
        <f>201254-45000</f>
        <v>156254</v>
      </c>
      <c r="H195" s="18"/>
      <c r="I195" s="18"/>
      <c r="J195" s="18"/>
      <c r="K195" s="26">
        <f t="shared" si="30"/>
        <v>0</v>
      </c>
      <c r="L195" s="18"/>
      <c r="M195" s="18"/>
      <c r="N195" s="18"/>
      <c r="O195" s="18"/>
      <c r="P195" s="18"/>
      <c r="Q195" s="26">
        <f t="shared" si="31"/>
        <v>156254</v>
      </c>
    </row>
    <row r="196" spans="1:17" s="143" customFormat="1" ht="24">
      <c r="A196" s="138"/>
      <c r="B196" s="139"/>
      <c r="C196" s="139"/>
      <c r="D196" s="139"/>
      <c r="E196" s="140" t="s">
        <v>899</v>
      </c>
      <c r="F196" s="141">
        <f t="shared" si="29"/>
        <v>156254</v>
      </c>
      <c r="G196" s="141">
        <f>G195</f>
        <v>156254</v>
      </c>
      <c r="H196" s="141"/>
      <c r="I196" s="141"/>
      <c r="J196" s="141"/>
      <c r="K196" s="142"/>
      <c r="L196" s="141"/>
      <c r="M196" s="141"/>
      <c r="N196" s="141"/>
      <c r="O196" s="141"/>
      <c r="P196" s="141"/>
      <c r="Q196" s="141">
        <f t="shared" si="31"/>
        <v>156254</v>
      </c>
    </row>
    <row r="197" spans="1:17" s="2" customFormat="1" ht="315" customHeight="1">
      <c r="A197" s="55" t="s">
        <v>563</v>
      </c>
      <c r="B197" s="55" t="s">
        <v>79</v>
      </c>
      <c r="C197" s="55" t="s">
        <v>1046</v>
      </c>
      <c r="D197" s="55" t="s">
        <v>596</v>
      </c>
      <c r="E197" s="56" t="s">
        <v>1186</v>
      </c>
      <c r="F197" s="144">
        <f t="shared" si="29"/>
        <v>4000</v>
      </c>
      <c r="G197" s="57">
        <v>4000</v>
      </c>
      <c r="H197" s="57"/>
      <c r="I197" s="57"/>
      <c r="J197" s="57"/>
      <c r="K197" s="144">
        <f t="shared" si="30"/>
        <v>0</v>
      </c>
      <c r="L197" s="57"/>
      <c r="M197" s="57"/>
      <c r="N197" s="57"/>
      <c r="O197" s="57"/>
      <c r="P197" s="57"/>
      <c r="Q197" s="144">
        <f t="shared" si="31"/>
        <v>4000</v>
      </c>
    </row>
    <row r="198" spans="1:17" s="2" customFormat="1" ht="48" customHeight="1">
      <c r="A198" s="53"/>
      <c r="B198" s="53"/>
      <c r="C198" s="53"/>
      <c r="D198" s="53"/>
      <c r="E198" s="58" t="s">
        <v>1187</v>
      </c>
      <c r="F198" s="145">
        <f t="shared" si="29"/>
        <v>0</v>
      </c>
      <c r="G198" s="54"/>
      <c r="H198" s="54"/>
      <c r="I198" s="54"/>
      <c r="J198" s="54"/>
      <c r="K198" s="145">
        <f t="shared" si="30"/>
        <v>0</v>
      </c>
      <c r="L198" s="54"/>
      <c r="M198" s="54"/>
      <c r="N198" s="54"/>
      <c r="O198" s="54"/>
      <c r="P198" s="54"/>
      <c r="Q198" s="145">
        <f t="shared" si="31"/>
        <v>0</v>
      </c>
    </row>
    <row r="199" spans="1:17" s="143" customFormat="1" ht="24">
      <c r="A199" s="138"/>
      <c r="B199" s="139"/>
      <c r="C199" s="139"/>
      <c r="D199" s="139"/>
      <c r="E199" s="140" t="s">
        <v>899</v>
      </c>
      <c r="F199" s="141">
        <f t="shared" si="29"/>
        <v>4000</v>
      </c>
      <c r="G199" s="141">
        <f>G197</f>
        <v>4000</v>
      </c>
      <c r="H199" s="141"/>
      <c r="I199" s="141"/>
      <c r="J199" s="141"/>
      <c r="K199" s="142"/>
      <c r="L199" s="141"/>
      <c r="M199" s="141"/>
      <c r="N199" s="141"/>
      <c r="O199" s="141"/>
      <c r="P199" s="141"/>
      <c r="Q199" s="141">
        <f t="shared" si="31"/>
        <v>4000</v>
      </c>
    </row>
    <row r="200" spans="1:17" s="2" customFormat="1" ht="96">
      <c r="A200" s="7" t="s">
        <v>338</v>
      </c>
      <c r="B200" s="7" t="s">
        <v>81</v>
      </c>
      <c r="C200" s="7" t="s">
        <v>1047</v>
      </c>
      <c r="D200" s="7" t="s">
        <v>597</v>
      </c>
      <c r="E200" s="30" t="s">
        <v>221</v>
      </c>
      <c r="F200" s="26">
        <f t="shared" si="29"/>
        <v>8000</v>
      </c>
      <c r="G200" s="18">
        <v>8000</v>
      </c>
      <c r="H200" s="18"/>
      <c r="I200" s="18"/>
      <c r="J200" s="18"/>
      <c r="K200" s="26">
        <f t="shared" si="30"/>
        <v>0</v>
      </c>
      <c r="L200" s="18"/>
      <c r="M200" s="18"/>
      <c r="N200" s="18"/>
      <c r="O200" s="18"/>
      <c r="P200" s="18"/>
      <c r="Q200" s="26">
        <f t="shared" si="31"/>
        <v>8000</v>
      </c>
    </row>
    <row r="201" spans="1:17" s="143" customFormat="1" ht="24">
      <c r="A201" s="138"/>
      <c r="B201" s="139"/>
      <c r="C201" s="139"/>
      <c r="D201" s="139"/>
      <c r="E201" s="140" t="s">
        <v>899</v>
      </c>
      <c r="F201" s="141">
        <f t="shared" si="29"/>
        <v>8000</v>
      </c>
      <c r="G201" s="141">
        <f>G200</f>
        <v>8000</v>
      </c>
      <c r="H201" s="141"/>
      <c r="I201" s="141"/>
      <c r="J201" s="141"/>
      <c r="K201" s="142"/>
      <c r="L201" s="141"/>
      <c r="M201" s="141"/>
      <c r="N201" s="141"/>
      <c r="O201" s="141"/>
      <c r="P201" s="141"/>
      <c r="Q201" s="141">
        <f t="shared" si="31"/>
        <v>8000</v>
      </c>
    </row>
    <row r="202" spans="1:17" s="2" customFormat="1" ht="38.25">
      <c r="A202" s="7" t="s">
        <v>342</v>
      </c>
      <c r="B202" s="7" t="s">
        <v>73</v>
      </c>
      <c r="C202" s="7" t="s">
        <v>1048</v>
      </c>
      <c r="D202" s="7" t="s">
        <v>597</v>
      </c>
      <c r="E202" s="10" t="s">
        <v>0</v>
      </c>
      <c r="F202" s="26">
        <f t="shared" si="29"/>
        <v>36246</v>
      </c>
      <c r="G202" s="18">
        <f>51246-15000</f>
        <v>36246</v>
      </c>
      <c r="H202" s="18"/>
      <c r="I202" s="18"/>
      <c r="J202" s="18"/>
      <c r="K202" s="26">
        <f t="shared" si="30"/>
        <v>0</v>
      </c>
      <c r="L202" s="18"/>
      <c r="M202" s="18"/>
      <c r="N202" s="18"/>
      <c r="O202" s="18"/>
      <c r="P202" s="18"/>
      <c r="Q202" s="26">
        <f t="shared" si="31"/>
        <v>36246</v>
      </c>
    </row>
    <row r="203" spans="1:17" s="143" customFormat="1" ht="24">
      <c r="A203" s="138"/>
      <c r="B203" s="139"/>
      <c r="C203" s="139"/>
      <c r="D203" s="139"/>
      <c r="E203" s="140" t="s">
        <v>899</v>
      </c>
      <c r="F203" s="141">
        <f t="shared" si="29"/>
        <v>36246</v>
      </c>
      <c r="G203" s="141">
        <f>G202</f>
        <v>36246</v>
      </c>
      <c r="H203" s="141"/>
      <c r="I203" s="141"/>
      <c r="J203" s="141"/>
      <c r="K203" s="142"/>
      <c r="L203" s="141"/>
      <c r="M203" s="141"/>
      <c r="N203" s="141"/>
      <c r="O203" s="141"/>
      <c r="P203" s="141"/>
      <c r="Q203" s="141">
        <f t="shared" si="31"/>
        <v>36246</v>
      </c>
    </row>
    <row r="204" spans="1:17" ht="51">
      <c r="A204" s="7" t="s">
        <v>351</v>
      </c>
      <c r="B204" s="7" t="s">
        <v>107</v>
      </c>
      <c r="C204" s="7" t="s">
        <v>1049</v>
      </c>
      <c r="D204" s="7" t="s">
        <v>588</v>
      </c>
      <c r="E204" s="3" t="s">
        <v>231</v>
      </c>
      <c r="F204" s="26">
        <f t="shared" si="29"/>
        <v>1011322</v>
      </c>
      <c r="G204" s="18">
        <f>964300+60000-12978</f>
        <v>1011322</v>
      </c>
      <c r="H204" s="18"/>
      <c r="I204" s="18"/>
      <c r="J204" s="18"/>
      <c r="K204" s="26">
        <f t="shared" si="30"/>
        <v>0</v>
      </c>
      <c r="L204" s="18"/>
      <c r="M204" s="18"/>
      <c r="N204" s="18"/>
      <c r="O204" s="18"/>
      <c r="P204" s="18"/>
      <c r="Q204" s="26">
        <f t="shared" si="31"/>
        <v>1011322</v>
      </c>
    </row>
    <row r="205" spans="1:17" s="143" customFormat="1" ht="24">
      <c r="A205" s="138"/>
      <c r="B205" s="139"/>
      <c r="C205" s="139"/>
      <c r="D205" s="139"/>
      <c r="E205" s="140" t="s">
        <v>899</v>
      </c>
      <c r="F205" s="141">
        <f t="shared" si="29"/>
        <v>1011322</v>
      </c>
      <c r="G205" s="141">
        <f>G204</f>
        <v>1011322</v>
      </c>
      <c r="H205" s="141"/>
      <c r="I205" s="141"/>
      <c r="J205" s="141"/>
      <c r="K205" s="142"/>
      <c r="L205" s="141"/>
      <c r="M205" s="141"/>
      <c r="N205" s="141"/>
      <c r="O205" s="141"/>
      <c r="P205" s="141"/>
      <c r="Q205" s="141">
        <f t="shared" si="31"/>
        <v>1011322</v>
      </c>
    </row>
    <row r="206" spans="1:17" ht="76.5" hidden="1">
      <c r="A206" s="7" t="s">
        <v>352</v>
      </c>
      <c r="B206" s="7" t="s">
        <v>109</v>
      </c>
      <c r="C206" s="7" t="s">
        <v>1050</v>
      </c>
      <c r="D206" s="7" t="s">
        <v>588</v>
      </c>
      <c r="E206" s="3" t="s">
        <v>71</v>
      </c>
      <c r="F206" s="26">
        <f t="shared" si="29"/>
        <v>0</v>
      </c>
      <c r="G206" s="18"/>
      <c r="H206" s="18"/>
      <c r="I206" s="18"/>
      <c r="J206" s="18"/>
      <c r="K206" s="26">
        <f t="shared" si="30"/>
        <v>0</v>
      </c>
      <c r="L206" s="18"/>
      <c r="M206" s="18"/>
      <c r="N206" s="18"/>
      <c r="O206" s="18"/>
      <c r="P206" s="18"/>
      <c r="Q206" s="26">
        <f t="shared" si="31"/>
        <v>0</v>
      </c>
    </row>
    <row r="207" spans="1:17" s="143" customFormat="1" ht="24" hidden="1">
      <c r="A207" s="138"/>
      <c r="B207" s="139"/>
      <c r="C207" s="139"/>
      <c r="D207" s="139"/>
      <c r="E207" s="140" t="s">
        <v>899</v>
      </c>
      <c r="F207" s="142"/>
      <c r="G207" s="141"/>
      <c r="H207" s="141"/>
      <c r="I207" s="141"/>
      <c r="J207" s="141"/>
      <c r="K207" s="142"/>
      <c r="L207" s="141"/>
      <c r="M207" s="141"/>
      <c r="N207" s="141"/>
      <c r="O207" s="141"/>
      <c r="P207" s="141"/>
      <c r="Q207" s="142"/>
    </row>
    <row r="208" spans="1:17" ht="231.75" customHeight="1">
      <c r="A208" s="7" t="s">
        <v>646</v>
      </c>
      <c r="B208" s="116"/>
      <c r="C208" s="116" t="s">
        <v>1051</v>
      </c>
      <c r="D208" s="116"/>
      <c r="E208" s="124" t="s">
        <v>898</v>
      </c>
      <c r="F208" s="26">
        <f t="shared" si="29"/>
        <v>71462336</v>
      </c>
      <c r="G208" s="121">
        <f>G209+G210+G211+G212+G213+G214+G215</f>
        <v>71462336</v>
      </c>
      <c r="H208" s="121">
        <f>H209+H210+H211+H212+H213+H214+H215</f>
        <v>0</v>
      </c>
      <c r="I208" s="121">
        <f>I209+I210+I211+I212+I213+I214+I215</f>
        <v>0</v>
      </c>
      <c r="J208" s="121">
        <f>J209+J210+J211+J212+J213+J214+J215</f>
        <v>0</v>
      </c>
      <c r="K208" s="26">
        <f t="shared" si="30"/>
        <v>80000</v>
      </c>
      <c r="L208" s="121">
        <f>L209+L210+L211+L212+L213+L214+L215</f>
        <v>0</v>
      </c>
      <c r="M208" s="121">
        <f>M209+M210+M211+M212+M213+M214+M215</f>
        <v>0</v>
      </c>
      <c r="N208" s="121">
        <f>N209+N210+N211+N212+N213+N214+N215</f>
        <v>0</v>
      </c>
      <c r="O208" s="121">
        <f>O209+O210+O211+O212+O213+O214+O215</f>
        <v>80000</v>
      </c>
      <c r="P208" s="121">
        <f>P209+P210+P211+P212+P213+P214+P215</f>
        <v>80000</v>
      </c>
      <c r="Q208" s="26">
        <f t="shared" si="31"/>
        <v>71542336</v>
      </c>
    </row>
    <row r="209" spans="1:17" s="2" customFormat="1" ht="216.75" customHeight="1">
      <c r="A209" s="7" t="s">
        <v>335</v>
      </c>
      <c r="B209" s="7" t="s">
        <v>77</v>
      </c>
      <c r="C209" s="7" t="s">
        <v>1052</v>
      </c>
      <c r="D209" s="7" t="s">
        <v>596</v>
      </c>
      <c r="E209" s="29" t="s">
        <v>562</v>
      </c>
      <c r="F209" s="26">
        <f t="shared" si="29"/>
        <v>2511906</v>
      </c>
      <c r="G209" s="18">
        <v>2511906</v>
      </c>
      <c r="H209" s="18"/>
      <c r="I209" s="18"/>
      <c r="J209" s="18"/>
      <c r="K209" s="26">
        <f t="shared" si="30"/>
        <v>80000</v>
      </c>
      <c r="L209" s="18"/>
      <c r="M209" s="18"/>
      <c r="N209" s="18"/>
      <c r="O209" s="18">
        <f>P209</f>
        <v>80000</v>
      </c>
      <c r="P209" s="18">
        <v>80000</v>
      </c>
      <c r="Q209" s="26">
        <f t="shared" si="31"/>
        <v>2591906</v>
      </c>
    </row>
    <row r="210" spans="1:17" s="2" customFormat="1" ht="83.25" customHeight="1">
      <c r="A210" s="7" t="s">
        <v>339</v>
      </c>
      <c r="B210" s="7" t="s">
        <v>82</v>
      </c>
      <c r="C210" s="7" t="s">
        <v>1053</v>
      </c>
      <c r="D210" s="7" t="s">
        <v>597</v>
      </c>
      <c r="E210" s="30" t="s">
        <v>222</v>
      </c>
      <c r="F210" s="26">
        <f t="shared" si="29"/>
        <v>81291</v>
      </c>
      <c r="G210" s="18">
        <v>81291</v>
      </c>
      <c r="H210" s="18"/>
      <c r="I210" s="18"/>
      <c r="J210" s="18"/>
      <c r="K210" s="26">
        <f t="shared" si="30"/>
        <v>0</v>
      </c>
      <c r="L210" s="18"/>
      <c r="M210" s="18"/>
      <c r="N210" s="18"/>
      <c r="O210" s="18"/>
      <c r="P210" s="18"/>
      <c r="Q210" s="26">
        <f t="shared" si="31"/>
        <v>81291</v>
      </c>
    </row>
    <row r="211" spans="1:17" s="2" customFormat="1" ht="25.5">
      <c r="A211" s="7" t="s">
        <v>340</v>
      </c>
      <c r="B211" s="7" t="s">
        <v>30</v>
      </c>
      <c r="C211" s="7" t="s">
        <v>1054</v>
      </c>
      <c r="D211" s="7" t="s">
        <v>597</v>
      </c>
      <c r="E211" s="10" t="s">
        <v>564</v>
      </c>
      <c r="F211" s="26">
        <f t="shared" si="29"/>
        <v>3924640</v>
      </c>
      <c r="G211" s="18">
        <v>3924640</v>
      </c>
      <c r="H211" s="18"/>
      <c r="I211" s="18"/>
      <c r="J211" s="18"/>
      <c r="K211" s="26">
        <f t="shared" si="30"/>
        <v>0</v>
      </c>
      <c r="L211" s="18"/>
      <c r="M211" s="18"/>
      <c r="N211" s="18"/>
      <c r="O211" s="18"/>
      <c r="P211" s="18"/>
      <c r="Q211" s="26">
        <f t="shared" si="31"/>
        <v>3924640</v>
      </c>
    </row>
    <row r="212" spans="1:17" ht="48.75" customHeight="1">
      <c r="A212" s="50" t="s">
        <v>354</v>
      </c>
      <c r="B212" s="28" t="s">
        <v>66</v>
      </c>
      <c r="C212" s="50" t="s">
        <v>1055</v>
      </c>
      <c r="D212" s="50" t="s">
        <v>597</v>
      </c>
      <c r="E212" s="25" t="s">
        <v>29</v>
      </c>
      <c r="F212" s="26">
        <f t="shared" si="29"/>
        <v>13200000</v>
      </c>
      <c r="G212" s="27">
        <f>11200000+2000000</f>
        <v>13200000</v>
      </c>
      <c r="H212" s="27"/>
      <c r="I212" s="27"/>
      <c r="J212" s="27"/>
      <c r="K212" s="26">
        <f t="shared" si="30"/>
        <v>0</v>
      </c>
      <c r="L212" s="27"/>
      <c r="M212" s="27"/>
      <c r="N212" s="27"/>
      <c r="O212" s="27"/>
      <c r="P212" s="27"/>
      <c r="Q212" s="26">
        <f t="shared" si="31"/>
        <v>13200000</v>
      </c>
    </row>
    <row r="213" spans="1:17" ht="38.25">
      <c r="A213" s="50" t="s">
        <v>355</v>
      </c>
      <c r="B213" s="28" t="s">
        <v>114</v>
      </c>
      <c r="C213" s="50" t="s">
        <v>1056</v>
      </c>
      <c r="D213" s="50" t="s">
        <v>597</v>
      </c>
      <c r="E213" s="25" t="s">
        <v>120</v>
      </c>
      <c r="F213" s="26">
        <f t="shared" si="29"/>
        <v>2000700</v>
      </c>
      <c r="G213" s="27">
        <f>1744499+256201</f>
        <v>2000700</v>
      </c>
      <c r="H213" s="27"/>
      <c r="I213" s="27"/>
      <c r="J213" s="27"/>
      <c r="K213" s="26">
        <f t="shared" si="30"/>
        <v>0</v>
      </c>
      <c r="L213" s="27"/>
      <c r="M213" s="27"/>
      <c r="N213" s="27"/>
      <c r="O213" s="27"/>
      <c r="P213" s="27"/>
      <c r="Q213" s="26">
        <f t="shared" si="31"/>
        <v>2000700</v>
      </c>
    </row>
    <row r="214" spans="1:17" s="2" customFormat="1" ht="48" customHeight="1">
      <c r="A214" s="50" t="s">
        <v>356</v>
      </c>
      <c r="B214" s="28" t="s">
        <v>112</v>
      </c>
      <c r="C214" s="50" t="s">
        <v>1057</v>
      </c>
      <c r="D214" s="50" t="s">
        <v>597</v>
      </c>
      <c r="E214" s="25" t="s">
        <v>113</v>
      </c>
      <c r="F214" s="26">
        <f t="shared" si="29"/>
        <v>5000000</v>
      </c>
      <c r="G214" s="27">
        <v>5000000</v>
      </c>
      <c r="H214" s="27"/>
      <c r="I214" s="27"/>
      <c r="J214" s="27"/>
      <c r="K214" s="26">
        <f t="shared" si="30"/>
        <v>0</v>
      </c>
      <c r="L214" s="27"/>
      <c r="M214" s="27"/>
      <c r="N214" s="27"/>
      <c r="O214" s="27"/>
      <c r="P214" s="27"/>
      <c r="Q214" s="26">
        <f t="shared" si="31"/>
        <v>5000000</v>
      </c>
    </row>
    <row r="215" spans="1:17" s="2" customFormat="1" ht="51.75" customHeight="1">
      <c r="A215" s="50" t="s">
        <v>357</v>
      </c>
      <c r="B215" s="28" t="s">
        <v>67</v>
      </c>
      <c r="C215" s="50" t="s">
        <v>1058</v>
      </c>
      <c r="D215" s="50" t="s">
        <v>597</v>
      </c>
      <c r="E215" s="48" t="s">
        <v>317</v>
      </c>
      <c r="F215" s="26">
        <f t="shared" si="29"/>
        <v>44743799</v>
      </c>
      <c r="G215" s="27">
        <f>45000000-256201</f>
        <v>44743799</v>
      </c>
      <c r="H215" s="27"/>
      <c r="I215" s="27"/>
      <c r="J215" s="27"/>
      <c r="K215" s="26">
        <f t="shared" si="30"/>
        <v>0</v>
      </c>
      <c r="L215" s="27"/>
      <c r="M215" s="27"/>
      <c r="N215" s="27"/>
      <c r="O215" s="27"/>
      <c r="P215" s="27"/>
      <c r="Q215" s="26">
        <f t="shared" si="31"/>
        <v>44743799</v>
      </c>
    </row>
    <row r="216" spans="1:17" s="2" customFormat="1" ht="51">
      <c r="A216" s="116" t="s">
        <v>648</v>
      </c>
      <c r="B216" s="117"/>
      <c r="C216" s="117"/>
      <c r="D216" s="117"/>
      <c r="E216" s="125" t="s">
        <v>649</v>
      </c>
      <c r="F216" s="26">
        <f t="shared" si="29"/>
        <v>716102307</v>
      </c>
      <c r="G216" s="119">
        <f>G217+G219+G221+G223+G225+G227+G229+G231+G233</f>
        <v>716102307</v>
      </c>
      <c r="H216" s="119">
        <f>H217+H219+H221+H223+H225+H227+H229+H231+H233</f>
        <v>0</v>
      </c>
      <c r="I216" s="119">
        <f>I217+I219+I221+I223+I225+I227+I229+I231+I233</f>
        <v>0</v>
      </c>
      <c r="J216" s="119">
        <f>J217+J219+J221+J223+J225+J227+J229+J231+J233</f>
        <v>0</v>
      </c>
      <c r="K216" s="26">
        <f t="shared" si="30"/>
        <v>0</v>
      </c>
      <c r="L216" s="119">
        <f>L217+L219+L221+L223+L225+L227+L229+L231+L233</f>
        <v>0</v>
      </c>
      <c r="M216" s="119">
        <f>M217+M219+M221+M223+M225+M227+M229+M231+M233</f>
        <v>0</v>
      </c>
      <c r="N216" s="119">
        <f>N217+N219+N221+N223+N225+N227+N229+N231+N233</f>
        <v>0</v>
      </c>
      <c r="O216" s="119">
        <f>O217+O219+O221+O223+O225+O227+O229+O231+O233</f>
        <v>0</v>
      </c>
      <c r="P216" s="119">
        <f>P217+P219+P221+P223+P225+P227+P229+P231+P233</f>
        <v>0</v>
      </c>
      <c r="Q216" s="26">
        <f t="shared" si="31"/>
        <v>716102307</v>
      </c>
    </row>
    <row r="217" spans="1:17" s="2" customFormat="1" ht="24.75" customHeight="1">
      <c r="A217" s="7" t="s">
        <v>343</v>
      </c>
      <c r="B217" s="7" t="s">
        <v>68</v>
      </c>
      <c r="C217" s="7" t="s">
        <v>1059</v>
      </c>
      <c r="D217" s="7" t="s">
        <v>583</v>
      </c>
      <c r="E217" s="10" t="s">
        <v>223</v>
      </c>
      <c r="F217" s="18">
        <f t="shared" si="29"/>
        <v>5762097</v>
      </c>
      <c r="G217" s="18">
        <f>6512097-750000</f>
        <v>5762097</v>
      </c>
      <c r="H217" s="18"/>
      <c r="I217" s="18"/>
      <c r="J217" s="18"/>
      <c r="K217" s="26">
        <f t="shared" si="30"/>
        <v>0</v>
      </c>
      <c r="L217" s="18"/>
      <c r="M217" s="18"/>
      <c r="N217" s="18"/>
      <c r="O217" s="18"/>
      <c r="P217" s="18"/>
      <c r="Q217" s="26">
        <f t="shared" si="31"/>
        <v>5762097</v>
      </c>
    </row>
    <row r="218" spans="1:17" s="143" customFormat="1" ht="24">
      <c r="A218" s="138"/>
      <c r="B218" s="139"/>
      <c r="C218" s="139"/>
      <c r="D218" s="139"/>
      <c r="E218" s="140" t="s">
        <v>899</v>
      </c>
      <c r="F218" s="18">
        <f t="shared" si="29"/>
        <v>5762097</v>
      </c>
      <c r="G218" s="18">
        <f>G217</f>
        <v>5762097</v>
      </c>
      <c r="H218" s="141"/>
      <c r="I218" s="141"/>
      <c r="J218" s="141"/>
      <c r="K218" s="142"/>
      <c r="L218" s="141"/>
      <c r="M218" s="141"/>
      <c r="N218" s="141"/>
      <c r="O218" s="141"/>
      <c r="P218" s="141"/>
      <c r="Q218" s="26">
        <f t="shared" si="31"/>
        <v>5762097</v>
      </c>
    </row>
    <row r="219" spans="1:17" s="2" customFormat="1" ht="27" customHeight="1">
      <c r="A219" s="7" t="s">
        <v>344</v>
      </c>
      <c r="B219" s="7" t="s">
        <v>69</v>
      </c>
      <c r="C219" s="7" t="s">
        <v>1060</v>
      </c>
      <c r="D219" s="7" t="s">
        <v>583</v>
      </c>
      <c r="E219" s="10" t="s">
        <v>556</v>
      </c>
      <c r="F219" s="18">
        <f t="shared" si="29"/>
        <v>670267</v>
      </c>
      <c r="G219" s="18">
        <f>1790267-1120000</f>
        <v>670267</v>
      </c>
      <c r="H219" s="18"/>
      <c r="I219" s="18"/>
      <c r="J219" s="18"/>
      <c r="K219" s="26">
        <f t="shared" si="30"/>
        <v>0</v>
      </c>
      <c r="L219" s="18"/>
      <c r="M219" s="18"/>
      <c r="N219" s="18"/>
      <c r="O219" s="18"/>
      <c r="P219" s="18"/>
      <c r="Q219" s="26">
        <f t="shared" si="31"/>
        <v>670267</v>
      </c>
    </row>
    <row r="220" spans="1:17" s="143" customFormat="1" ht="24">
      <c r="A220" s="138"/>
      <c r="B220" s="139"/>
      <c r="C220" s="139"/>
      <c r="D220" s="139"/>
      <c r="E220" s="140" t="s">
        <v>899</v>
      </c>
      <c r="F220" s="18">
        <f t="shared" si="29"/>
        <v>670267</v>
      </c>
      <c r="G220" s="18">
        <f>G219</f>
        <v>670267</v>
      </c>
      <c r="H220" s="141"/>
      <c r="I220" s="141"/>
      <c r="J220" s="141"/>
      <c r="K220" s="142"/>
      <c r="L220" s="141"/>
      <c r="M220" s="141"/>
      <c r="N220" s="141"/>
      <c r="O220" s="141"/>
      <c r="P220" s="141"/>
      <c r="Q220" s="26">
        <f t="shared" si="31"/>
        <v>670267</v>
      </c>
    </row>
    <row r="221" spans="1:17" s="2" customFormat="1" ht="25.5">
      <c r="A221" s="7" t="s">
        <v>345</v>
      </c>
      <c r="B221" s="7" t="s">
        <v>70</v>
      </c>
      <c r="C221" s="7" t="s">
        <v>1061</v>
      </c>
      <c r="D221" s="7" t="s">
        <v>583</v>
      </c>
      <c r="E221" s="10" t="s">
        <v>224</v>
      </c>
      <c r="F221" s="18">
        <f t="shared" si="29"/>
        <v>344764891</v>
      </c>
      <c r="G221" s="18">
        <f>335264891+9500000</f>
        <v>344764891</v>
      </c>
      <c r="H221" s="18"/>
      <c r="I221" s="18"/>
      <c r="J221" s="18"/>
      <c r="K221" s="26">
        <f t="shared" si="30"/>
        <v>0</v>
      </c>
      <c r="L221" s="18"/>
      <c r="M221" s="18"/>
      <c r="N221" s="18"/>
      <c r="O221" s="18"/>
      <c r="P221" s="18"/>
      <c r="Q221" s="26">
        <f t="shared" si="31"/>
        <v>344764891</v>
      </c>
    </row>
    <row r="222" spans="1:17" s="143" customFormat="1" ht="24">
      <c r="A222" s="138"/>
      <c r="B222" s="139"/>
      <c r="C222" s="139"/>
      <c r="D222" s="139"/>
      <c r="E222" s="140" t="s">
        <v>899</v>
      </c>
      <c r="F222" s="18">
        <f t="shared" si="29"/>
        <v>344764891</v>
      </c>
      <c r="G222" s="18">
        <f>G221</f>
        <v>344764891</v>
      </c>
      <c r="H222" s="141"/>
      <c r="I222" s="141"/>
      <c r="J222" s="141"/>
      <c r="K222" s="142"/>
      <c r="L222" s="141"/>
      <c r="M222" s="141"/>
      <c r="N222" s="141"/>
      <c r="O222" s="141"/>
      <c r="P222" s="141"/>
      <c r="Q222" s="26">
        <f t="shared" si="31"/>
        <v>344764891</v>
      </c>
    </row>
    <row r="223" spans="1:17" s="2" customFormat="1" ht="24.75" customHeight="1">
      <c r="A223" s="7" t="s">
        <v>360</v>
      </c>
      <c r="B223" s="7" t="s">
        <v>61</v>
      </c>
      <c r="C223" s="7" t="s">
        <v>1062</v>
      </c>
      <c r="D223" s="7" t="s">
        <v>583</v>
      </c>
      <c r="E223" s="46" t="s">
        <v>225</v>
      </c>
      <c r="F223" s="18">
        <f t="shared" si="29"/>
        <v>33760226</v>
      </c>
      <c r="G223" s="18">
        <f>29560226+4200000</f>
        <v>33760226</v>
      </c>
      <c r="H223" s="18"/>
      <c r="I223" s="18"/>
      <c r="J223" s="18"/>
      <c r="K223" s="26">
        <f t="shared" si="30"/>
        <v>0</v>
      </c>
      <c r="L223" s="18"/>
      <c r="M223" s="18"/>
      <c r="N223" s="18"/>
      <c r="O223" s="18"/>
      <c r="P223" s="18"/>
      <c r="Q223" s="26">
        <f t="shared" si="31"/>
        <v>33760226</v>
      </c>
    </row>
    <row r="224" spans="1:17" s="143" customFormat="1" ht="24">
      <c r="A224" s="138"/>
      <c r="B224" s="139"/>
      <c r="C224" s="139"/>
      <c r="D224" s="139"/>
      <c r="E224" s="140" t="s">
        <v>899</v>
      </c>
      <c r="F224" s="18">
        <f t="shared" si="29"/>
        <v>33760226</v>
      </c>
      <c r="G224" s="18">
        <f>G223</f>
        <v>33760226</v>
      </c>
      <c r="H224" s="141"/>
      <c r="I224" s="141"/>
      <c r="J224" s="141"/>
      <c r="K224" s="142"/>
      <c r="L224" s="141"/>
      <c r="M224" s="141"/>
      <c r="N224" s="141"/>
      <c r="O224" s="141"/>
      <c r="P224" s="141"/>
      <c r="Q224" s="26">
        <f t="shared" si="31"/>
        <v>33760226</v>
      </c>
    </row>
    <row r="225" spans="1:17" s="2" customFormat="1" ht="27.75" customHeight="1">
      <c r="A225" s="7" t="s">
        <v>346</v>
      </c>
      <c r="B225" s="7" t="s">
        <v>85</v>
      </c>
      <c r="C225" s="7" t="s">
        <v>1063</v>
      </c>
      <c r="D225" s="7" t="s">
        <v>583</v>
      </c>
      <c r="E225" s="10" t="s">
        <v>226</v>
      </c>
      <c r="F225" s="18">
        <f t="shared" si="29"/>
        <v>119495538</v>
      </c>
      <c r="G225" s="18">
        <f>150695538-31200000</f>
        <v>119495538</v>
      </c>
      <c r="H225" s="18"/>
      <c r="I225" s="18"/>
      <c r="J225" s="18"/>
      <c r="K225" s="26">
        <f t="shared" si="30"/>
        <v>0</v>
      </c>
      <c r="L225" s="18"/>
      <c r="M225" s="18"/>
      <c r="N225" s="18"/>
      <c r="O225" s="18"/>
      <c r="P225" s="18"/>
      <c r="Q225" s="26">
        <f t="shared" si="31"/>
        <v>119495538</v>
      </c>
    </row>
    <row r="226" spans="1:17" s="143" customFormat="1" ht="24">
      <c r="A226" s="138"/>
      <c r="B226" s="139"/>
      <c r="C226" s="139"/>
      <c r="D226" s="139"/>
      <c r="E226" s="140" t="s">
        <v>899</v>
      </c>
      <c r="F226" s="18">
        <f t="shared" si="29"/>
        <v>119495538</v>
      </c>
      <c r="G226" s="18">
        <f>G225</f>
        <v>119495538</v>
      </c>
      <c r="H226" s="141"/>
      <c r="I226" s="141"/>
      <c r="J226" s="141"/>
      <c r="K226" s="142"/>
      <c r="L226" s="141"/>
      <c r="M226" s="141"/>
      <c r="N226" s="141"/>
      <c r="O226" s="141"/>
      <c r="P226" s="141"/>
      <c r="Q226" s="26">
        <f t="shared" si="31"/>
        <v>119495538</v>
      </c>
    </row>
    <row r="227" spans="1:17" s="2" customFormat="1" ht="25.5" customHeight="1">
      <c r="A227" s="7" t="s">
        <v>347</v>
      </c>
      <c r="B227" s="7" t="s">
        <v>119</v>
      </c>
      <c r="C227" s="7" t="s">
        <v>1064</v>
      </c>
      <c r="D227" s="7" t="s">
        <v>583</v>
      </c>
      <c r="E227" s="10" t="s">
        <v>227</v>
      </c>
      <c r="F227" s="18">
        <f t="shared" si="29"/>
        <v>5654168</v>
      </c>
      <c r="G227" s="18">
        <f>7954168-2300000</f>
        <v>5654168</v>
      </c>
      <c r="H227" s="18"/>
      <c r="I227" s="18"/>
      <c r="J227" s="18"/>
      <c r="K227" s="26">
        <f t="shared" si="30"/>
        <v>0</v>
      </c>
      <c r="L227" s="18"/>
      <c r="M227" s="18"/>
      <c r="N227" s="18"/>
      <c r="O227" s="18"/>
      <c r="P227" s="18"/>
      <c r="Q227" s="26">
        <f t="shared" si="31"/>
        <v>5654168</v>
      </c>
    </row>
    <row r="228" spans="1:17" s="143" customFormat="1" ht="24">
      <c r="A228" s="138"/>
      <c r="B228" s="139"/>
      <c r="C228" s="139"/>
      <c r="D228" s="139"/>
      <c r="E228" s="140" t="s">
        <v>899</v>
      </c>
      <c r="F228" s="18">
        <f t="shared" si="29"/>
        <v>5654168</v>
      </c>
      <c r="G228" s="18">
        <f>G227</f>
        <v>5654168</v>
      </c>
      <c r="H228" s="141"/>
      <c r="I228" s="141"/>
      <c r="J228" s="141"/>
      <c r="K228" s="142"/>
      <c r="L228" s="141"/>
      <c r="M228" s="141"/>
      <c r="N228" s="141"/>
      <c r="O228" s="141"/>
      <c r="P228" s="141"/>
      <c r="Q228" s="26">
        <f t="shared" si="31"/>
        <v>5654168</v>
      </c>
    </row>
    <row r="229" spans="1:17" ht="25.5">
      <c r="A229" s="7" t="s">
        <v>348</v>
      </c>
      <c r="B229" s="7" t="s">
        <v>108</v>
      </c>
      <c r="C229" s="7" t="s">
        <v>1065</v>
      </c>
      <c r="D229" s="7" t="s">
        <v>583</v>
      </c>
      <c r="E229" s="10" t="s">
        <v>228</v>
      </c>
      <c r="F229" s="18">
        <f t="shared" si="29"/>
        <v>1594372</v>
      </c>
      <c r="G229" s="18">
        <f>624372+970000</f>
        <v>1594372</v>
      </c>
      <c r="H229" s="18"/>
      <c r="I229" s="18"/>
      <c r="J229" s="18"/>
      <c r="K229" s="26">
        <f t="shared" si="30"/>
        <v>0</v>
      </c>
      <c r="L229" s="18"/>
      <c r="M229" s="18"/>
      <c r="N229" s="18"/>
      <c r="O229" s="18"/>
      <c r="P229" s="18"/>
      <c r="Q229" s="26">
        <f t="shared" si="31"/>
        <v>1594372</v>
      </c>
    </row>
    <row r="230" spans="1:17" s="143" customFormat="1" ht="24">
      <c r="A230" s="138"/>
      <c r="B230" s="139"/>
      <c r="C230" s="139"/>
      <c r="D230" s="139"/>
      <c r="E230" s="140" t="s">
        <v>899</v>
      </c>
      <c r="F230" s="18">
        <f t="shared" si="29"/>
        <v>1594372</v>
      </c>
      <c r="G230" s="141">
        <f>G229</f>
        <v>1594372</v>
      </c>
      <c r="H230" s="141"/>
      <c r="I230" s="141"/>
      <c r="J230" s="141"/>
      <c r="K230" s="142"/>
      <c r="L230" s="141"/>
      <c r="M230" s="141"/>
      <c r="N230" s="141"/>
      <c r="O230" s="141"/>
      <c r="P230" s="141"/>
      <c r="Q230" s="26">
        <f t="shared" si="31"/>
        <v>1594372</v>
      </c>
    </row>
    <row r="231" spans="1:17" s="2" customFormat="1" ht="28.5" customHeight="1">
      <c r="A231" s="7" t="s">
        <v>349</v>
      </c>
      <c r="B231" s="7" t="s">
        <v>83</v>
      </c>
      <c r="C231" s="7" t="s">
        <v>1066</v>
      </c>
      <c r="D231" s="7" t="s">
        <v>583</v>
      </c>
      <c r="E231" s="10" t="s">
        <v>229</v>
      </c>
      <c r="F231" s="18">
        <f t="shared" si="29"/>
        <v>84783470</v>
      </c>
      <c r="G231" s="18">
        <f>80783470+4000000</f>
        <v>84783470</v>
      </c>
      <c r="H231" s="18"/>
      <c r="I231" s="18"/>
      <c r="J231" s="18"/>
      <c r="K231" s="26">
        <f t="shared" si="30"/>
        <v>0</v>
      </c>
      <c r="L231" s="18"/>
      <c r="M231" s="18"/>
      <c r="N231" s="18"/>
      <c r="O231" s="18"/>
      <c r="P231" s="18"/>
      <c r="Q231" s="26">
        <f t="shared" si="31"/>
        <v>84783470</v>
      </c>
    </row>
    <row r="232" spans="1:17" s="143" customFormat="1" ht="24">
      <c r="A232" s="138"/>
      <c r="B232" s="139"/>
      <c r="C232" s="139"/>
      <c r="D232" s="139"/>
      <c r="E232" s="140" t="s">
        <v>899</v>
      </c>
      <c r="F232" s="18">
        <f t="shared" si="29"/>
        <v>84783470</v>
      </c>
      <c r="G232" s="18">
        <f>G231</f>
        <v>84783470</v>
      </c>
      <c r="H232" s="141"/>
      <c r="I232" s="141"/>
      <c r="J232" s="141"/>
      <c r="K232" s="142"/>
      <c r="L232" s="141"/>
      <c r="M232" s="141"/>
      <c r="N232" s="141"/>
      <c r="O232" s="141"/>
      <c r="P232" s="141"/>
      <c r="Q232" s="26">
        <f t="shared" si="31"/>
        <v>84783470</v>
      </c>
    </row>
    <row r="233" spans="1:17" ht="37.5" customHeight="1">
      <c r="A233" s="7" t="s">
        <v>353</v>
      </c>
      <c r="B233" s="7" t="s">
        <v>65</v>
      </c>
      <c r="C233" s="7" t="s">
        <v>1067</v>
      </c>
      <c r="D233" s="7" t="s">
        <v>599</v>
      </c>
      <c r="E233" s="10" t="s">
        <v>234</v>
      </c>
      <c r="F233" s="18">
        <f t="shared" si="29"/>
        <v>119617278</v>
      </c>
      <c r="G233" s="18">
        <f>104317278+15300000</f>
        <v>119617278</v>
      </c>
      <c r="H233" s="18"/>
      <c r="I233" s="18"/>
      <c r="J233" s="18"/>
      <c r="K233" s="26">
        <f t="shared" si="30"/>
        <v>0</v>
      </c>
      <c r="L233" s="18"/>
      <c r="M233" s="18"/>
      <c r="N233" s="18"/>
      <c r="O233" s="18"/>
      <c r="P233" s="18"/>
      <c r="Q233" s="26">
        <f t="shared" si="31"/>
        <v>119617278</v>
      </c>
    </row>
    <row r="234" spans="1:17" s="143" customFormat="1" ht="24">
      <c r="A234" s="138"/>
      <c r="B234" s="139"/>
      <c r="C234" s="139"/>
      <c r="D234" s="139"/>
      <c r="E234" s="140" t="s">
        <v>899</v>
      </c>
      <c r="F234" s="18">
        <f t="shared" si="29"/>
        <v>119617278</v>
      </c>
      <c r="G234" s="18">
        <f>G233</f>
        <v>119617278</v>
      </c>
      <c r="H234" s="141"/>
      <c r="I234" s="141"/>
      <c r="J234" s="141"/>
      <c r="K234" s="142"/>
      <c r="L234" s="141"/>
      <c r="M234" s="141"/>
      <c r="N234" s="141"/>
      <c r="O234" s="141"/>
      <c r="P234" s="141"/>
      <c r="Q234" s="26">
        <f t="shared" si="31"/>
        <v>119617278</v>
      </c>
    </row>
    <row r="235" spans="1:17" ht="38.25">
      <c r="A235" s="116" t="s">
        <v>559</v>
      </c>
      <c r="B235" s="117" t="s">
        <v>558</v>
      </c>
      <c r="C235" s="117" t="s">
        <v>1068</v>
      </c>
      <c r="D235" s="117" t="s">
        <v>599</v>
      </c>
      <c r="E235" s="125" t="s">
        <v>557</v>
      </c>
      <c r="F235" s="18">
        <f t="shared" si="29"/>
        <v>10123995</v>
      </c>
      <c r="G235" s="119">
        <f>8723995+1400000</f>
        <v>10123995</v>
      </c>
      <c r="H235" s="119"/>
      <c r="I235" s="119"/>
      <c r="J235" s="119"/>
      <c r="K235" s="26">
        <f t="shared" si="30"/>
        <v>0</v>
      </c>
      <c r="L235" s="119"/>
      <c r="M235" s="119"/>
      <c r="N235" s="119"/>
      <c r="O235" s="119"/>
      <c r="P235" s="119"/>
      <c r="Q235" s="26">
        <f t="shared" si="31"/>
        <v>10123995</v>
      </c>
    </row>
    <row r="236" spans="1:17" s="143" customFormat="1" ht="24">
      <c r="A236" s="138"/>
      <c r="B236" s="139"/>
      <c r="C236" s="139"/>
      <c r="D236" s="139"/>
      <c r="E236" s="140" t="s">
        <v>899</v>
      </c>
      <c r="F236" s="18">
        <f t="shared" si="29"/>
        <v>10123995</v>
      </c>
      <c r="G236" s="18">
        <f>G235</f>
        <v>10123995</v>
      </c>
      <c r="H236" s="141"/>
      <c r="I236" s="141"/>
      <c r="J236" s="141"/>
      <c r="K236" s="142"/>
      <c r="L236" s="141"/>
      <c r="M236" s="141"/>
      <c r="N236" s="141"/>
      <c r="O236" s="141"/>
      <c r="P236" s="141"/>
      <c r="Q236" s="26">
        <f t="shared" si="31"/>
        <v>10123995</v>
      </c>
    </row>
    <row r="237" spans="1:17" ht="80.25" customHeight="1">
      <c r="A237" s="112" t="s">
        <v>650</v>
      </c>
      <c r="B237" s="112"/>
      <c r="C237" s="112" t="s">
        <v>1136</v>
      </c>
      <c r="D237" s="112"/>
      <c r="E237" s="115" t="s">
        <v>651</v>
      </c>
      <c r="F237" s="27">
        <f t="shared" si="29"/>
        <v>33375272</v>
      </c>
      <c r="G237" s="114">
        <f>G238</f>
        <v>33375272</v>
      </c>
      <c r="H237" s="114">
        <f>H238</f>
        <v>22410800</v>
      </c>
      <c r="I237" s="114">
        <f>I238</f>
        <v>2698959</v>
      </c>
      <c r="J237" s="114">
        <f>J238</f>
        <v>0</v>
      </c>
      <c r="K237" s="26">
        <f t="shared" si="30"/>
        <v>1969423</v>
      </c>
      <c r="L237" s="114">
        <f>L238</f>
        <v>160863</v>
      </c>
      <c r="M237" s="114">
        <f>M238</f>
        <v>103990</v>
      </c>
      <c r="N237" s="114">
        <f>N238</f>
        <v>0</v>
      </c>
      <c r="O237" s="114">
        <f>O238</f>
        <v>1808560</v>
      </c>
      <c r="P237" s="114">
        <f>P238</f>
        <v>1808560</v>
      </c>
      <c r="Q237" s="26">
        <f t="shared" si="31"/>
        <v>35344695</v>
      </c>
    </row>
    <row r="238" spans="1:17" ht="63.75" customHeight="1">
      <c r="A238" s="50" t="s">
        <v>386</v>
      </c>
      <c r="B238" s="28" t="s">
        <v>48</v>
      </c>
      <c r="C238" s="50" t="s">
        <v>1069</v>
      </c>
      <c r="D238" s="50" t="s">
        <v>600</v>
      </c>
      <c r="E238" s="48" t="s">
        <v>232</v>
      </c>
      <c r="F238" s="27">
        <f t="shared" si="29"/>
        <v>33375272</v>
      </c>
      <c r="G238" s="27">
        <f>32926450+(10000)+(500)+333322+(18000)+(20000)+60000+(5000)+(2000)</f>
        <v>33375272</v>
      </c>
      <c r="H238" s="27">
        <f>22137585+273215</f>
        <v>22410800</v>
      </c>
      <c r="I238" s="27">
        <v>2698959</v>
      </c>
      <c r="J238" s="27"/>
      <c r="K238" s="26">
        <f t="shared" si="30"/>
        <v>1969423</v>
      </c>
      <c r="L238" s="27">
        <v>160863</v>
      </c>
      <c r="M238" s="27">
        <v>103990</v>
      </c>
      <c r="N238" s="27"/>
      <c r="O238" s="27">
        <f>P238</f>
        <v>1808560</v>
      </c>
      <c r="P238" s="27">
        <f>((94500))+(10000)+(10000)+389700+507157+509103+(7500)+267600+(13000)</f>
        <v>1808560</v>
      </c>
      <c r="Q238" s="26">
        <f t="shared" si="31"/>
        <v>35344695</v>
      </c>
    </row>
    <row r="239" spans="1:17" ht="27.75" customHeight="1">
      <c r="A239" s="116" t="s">
        <v>967</v>
      </c>
      <c r="B239" s="117" t="s">
        <v>784</v>
      </c>
      <c r="C239" s="117" t="s">
        <v>1006</v>
      </c>
      <c r="D239" s="117" t="s">
        <v>786</v>
      </c>
      <c r="E239" s="125" t="s">
        <v>785</v>
      </c>
      <c r="F239" s="27">
        <f t="shared" si="29"/>
        <v>599842</v>
      </c>
      <c r="G239" s="119">
        <v>599842</v>
      </c>
      <c r="H239" s="119">
        <v>491674</v>
      </c>
      <c r="I239" s="119"/>
      <c r="J239" s="119"/>
      <c r="K239" s="26">
        <f t="shared" si="30"/>
        <v>0</v>
      </c>
      <c r="L239" s="119"/>
      <c r="M239" s="119"/>
      <c r="N239" s="119"/>
      <c r="O239" s="119"/>
      <c r="P239" s="119"/>
      <c r="Q239" s="26">
        <f t="shared" si="31"/>
        <v>599842</v>
      </c>
    </row>
    <row r="240" spans="1:17" ht="25.5">
      <c r="A240" s="112" t="s">
        <v>652</v>
      </c>
      <c r="B240" s="112"/>
      <c r="C240" s="112" t="s">
        <v>1001</v>
      </c>
      <c r="D240" s="112"/>
      <c r="E240" s="115" t="s">
        <v>755</v>
      </c>
      <c r="F240" s="26">
        <f t="shared" si="29"/>
        <v>4682912</v>
      </c>
      <c r="G240" s="114">
        <f>G241+G242</f>
        <v>4682912</v>
      </c>
      <c r="H240" s="114">
        <f>H241+H242</f>
        <v>3460450</v>
      </c>
      <c r="I240" s="114">
        <f>I241+I242</f>
        <v>141645</v>
      </c>
      <c r="J240" s="114">
        <f>J241+J242</f>
        <v>0</v>
      </c>
      <c r="K240" s="26">
        <f t="shared" si="30"/>
        <v>0</v>
      </c>
      <c r="L240" s="114">
        <f>L241+L242</f>
        <v>0</v>
      </c>
      <c r="M240" s="114">
        <f>M241+M242</f>
        <v>0</v>
      </c>
      <c r="N240" s="114">
        <f>N241+N242</f>
        <v>0</v>
      </c>
      <c r="O240" s="114">
        <f>O241+O242</f>
        <v>0</v>
      </c>
      <c r="P240" s="114">
        <f>P241+P242</f>
        <v>0</v>
      </c>
      <c r="Q240" s="26">
        <f t="shared" si="31"/>
        <v>4682912</v>
      </c>
    </row>
    <row r="241" spans="1:17" ht="25.5">
      <c r="A241" s="50" t="s">
        <v>453</v>
      </c>
      <c r="B241" s="7" t="s">
        <v>90</v>
      </c>
      <c r="C241" s="7" t="s">
        <v>1002</v>
      </c>
      <c r="D241" s="7" t="s">
        <v>583</v>
      </c>
      <c r="E241" s="48" t="s">
        <v>378</v>
      </c>
      <c r="F241" s="26">
        <f t="shared" si="29"/>
        <v>4322779</v>
      </c>
      <c r="G241" s="18">
        <f>4234660+88119</f>
        <v>4322779</v>
      </c>
      <c r="H241" s="18">
        <v>3204456</v>
      </c>
      <c r="I241" s="18">
        <v>141645</v>
      </c>
      <c r="J241" s="18"/>
      <c r="K241" s="26">
        <f t="shared" si="30"/>
        <v>0</v>
      </c>
      <c r="L241" s="18"/>
      <c r="M241" s="18"/>
      <c r="N241" s="18"/>
      <c r="O241" s="18"/>
      <c r="P241" s="18"/>
      <c r="Q241" s="26">
        <f t="shared" si="31"/>
        <v>4322779</v>
      </c>
    </row>
    <row r="242" spans="1:17" ht="25.5">
      <c r="A242" s="50" t="s">
        <v>454</v>
      </c>
      <c r="B242" s="7" t="s">
        <v>91</v>
      </c>
      <c r="C242" s="7" t="s">
        <v>1003</v>
      </c>
      <c r="D242" s="7" t="s">
        <v>583</v>
      </c>
      <c r="E242" s="25" t="s">
        <v>115</v>
      </c>
      <c r="F242" s="26">
        <f t="shared" si="29"/>
        <v>360133</v>
      </c>
      <c r="G242" s="18">
        <v>360133</v>
      </c>
      <c r="H242" s="18">
        <v>255994</v>
      </c>
      <c r="I242" s="18"/>
      <c r="J242" s="18"/>
      <c r="K242" s="26">
        <f t="shared" si="30"/>
        <v>0</v>
      </c>
      <c r="L242" s="18"/>
      <c r="M242" s="18"/>
      <c r="N242" s="18"/>
      <c r="O242" s="18"/>
      <c r="P242" s="18"/>
      <c r="Q242" s="26">
        <f t="shared" si="31"/>
        <v>360133</v>
      </c>
    </row>
    <row r="243" spans="1:17" ht="25.5" hidden="1">
      <c r="A243" s="50" t="s">
        <v>455</v>
      </c>
      <c r="B243" s="7" t="s">
        <v>47</v>
      </c>
      <c r="C243" s="7" t="s">
        <v>1004</v>
      </c>
      <c r="D243" s="7"/>
      <c r="E243" s="25" t="s">
        <v>452</v>
      </c>
      <c r="F243" s="26">
        <f t="shared" si="29"/>
        <v>0</v>
      </c>
      <c r="G243" s="18"/>
      <c r="H243" s="18"/>
      <c r="I243" s="18"/>
      <c r="J243" s="18"/>
      <c r="K243" s="26">
        <f t="shared" si="30"/>
        <v>0</v>
      </c>
      <c r="L243" s="18"/>
      <c r="M243" s="18"/>
      <c r="N243" s="18"/>
      <c r="O243" s="18"/>
      <c r="P243" s="18"/>
      <c r="Q243" s="26">
        <f t="shared" si="31"/>
        <v>0</v>
      </c>
    </row>
    <row r="244" spans="1:17" ht="76.5" hidden="1">
      <c r="A244" s="50" t="s">
        <v>385</v>
      </c>
      <c r="B244" s="28" t="s">
        <v>96</v>
      </c>
      <c r="C244" s="50" t="s">
        <v>1005</v>
      </c>
      <c r="D244" s="28"/>
      <c r="E244" s="48" t="s">
        <v>198</v>
      </c>
      <c r="F244" s="26">
        <f t="shared" si="29"/>
        <v>0</v>
      </c>
      <c r="G244" s="27"/>
      <c r="H244" s="27"/>
      <c r="I244" s="27"/>
      <c r="J244" s="27"/>
      <c r="K244" s="26">
        <f t="shared" si="30"/>
        <v>0</v>
      </c>
      <c r="L244" s="27"/>
      <c r="M244" s="27"/>
      <c r="N244" s="27"/>
      <c r="O244" s="27"/>
      <c r="P244" s="27"/>
      <c r="Q244" s="26">
        <f t="shared" si="31"/>
        <v>0</v>
      </c>
    </row>
    <row r="245" spans="1:17" ht="105" customHeight="1">
      <c r="A245" s="112" t="s">
        <v>653</v>
      </c>
      <c r="B245" s="112"/>
      <c r="C245" s="112" t="s">
        <v>1070</v>
      </c>
      <c r="D245" s="112"/>
      <c r="E245" s="115" t="s">
        <v>654</v>
      </c>
      <c r="F245" s="114">
        <f t="shared" si="29"/>
        <v>3530339</v>
      </c>
      <c r="G245" s="114">
        <f>G246</f>
        <v>3530339</v>
      </c>
      <c r="H245" s="114">
        <f>H246</f>
        <v>0</v>
      </c>
      <c r="I245" s="114">
        <f>I246</f>
        <v>0</v>
      </c>
      <c r="J245" s="114">
        <f>J246</f>
        <v>0</v>
      </c>
      <c r="K245" s="26">
        <f t="shared" si="30"/>
        <v>0</v>
      </c>
      <c r="L245" s="114">
        <f>L246</f>
        <v>0</v>
      </c>
      <c r="M245" s="114">
        <f>M246</f>
        <v>0</v>
      </c>
      <c r="N245" s="114">
        <f>N246</f>
        <v>0</v>
      </c>
      <c r="O245" s="114">
        <f>O246</f>
        <v>0</v>
      </c>
      <c r="P245" s="114">
        <f>P246</f>
        <v>0</v>
      </c>
      <c r="Q245" s="26">
        <f t="shared" si="31"/>
        <v>3530339</v>
      </c>
    </row>
    <row r="246" spans="1:17" ht="76.5">
      <c r="A246" s="50" t="s">
        <v>387</v>
      </c>
      <c r="B246" s="50" t="s">
        <v>126</v>
      </c>
      <c r="C246" s="50" t="s">
        <v>1071</v>
      </c>
      <c r="D246" s="50" t="s">
        <v>599</v>
      </c>
      <c r="E246" s="48" t="s">
        <v>413</v>
      </c>
      <c r="F246" s="27">
        <f t="shared" si="29"/>
        <v>3530339</v>
      </c>
      <c r="G246" s="27">
        <v>3530339</v>
      </c>
      <c r="H246" s="27"/>
      <c r="I246" s="27"/>
      <c r="J246" s="27"/>
      <c r="K246" s="26">
        <f t="shared" si="30"/>
        <v>0</v>
      </c>
      <c r="L246" s="27"/>
      <c r="M246" s="27"/>
      <c r="N246" s="27"/>
      <c r="O246" s="27"/>
      <c r="P246" s="27"/>
      <c r="Q246" s="26">
        <f t="shared" si="31"/>
        <v>3530339</v>
      </c>
    </row>
    <row r="247" spans="1:17" ht="25.5">
      <c r="A247" s="112" t="s">
        <v>655</v>
      </c>
      <c r="B247" s="112"/>
      <c r="C247" s="112" t="s">
        <v>1072</v>
      </c>
      <c r="D247" s="112"/>
      <c r="E247" s="115" t="s">
        <v>656</v>
      </c>
      <c r="F247" s="27">
        <f t="shared" si="29"/>
        <v>2676808</v>
      </c>
      <c r="G247" s="114">
        <f>G248</f>
        <v>2676808</v>
      </c>
      <c r="H247" s="114">
        <f>H248</f>
        <v>0</v>
      </c>
      <c r="I247" s="114">
        <f>I248</f>
        <v>0</v>
      </c>
      <c r="J247" s="114">
        <f>J248</f>
        <v>0</v>
      </c>
      <c r="K247" s="26">
        <f t="shared" si="30"/>
        <v>191000</v>
      </c>
      <c r="L247" s="114">
        <f>L248</f>
        <v>0</v>
      </c>
      <c r="M247" s="114">
        <f>M248</f>
        <v>0</v>
      </c>
      <c r="N247" s="114">
        <f>N248</f>
        <v>0</v>
      </c>
      <c r="O247" s="114">
        <f>O248</f>
        <v>191000</v>
      </c>
      <c r="P247" s="114">
        <f>P248</f>
        <v>191000</v>
      </c>
      <c r="Q247" s="26">
        <f t="shared" si="31"/>
        <v>2867808</v>
      </c>
    </row>
    <row r="248" spans="1:17" ht="51">
      <c r="A248" s="50" t="s">
        <v>388</v>
      </c>
      <c r="B248" s="28" t="s">
        <v>75</v>
      </c>
      <c r="C248" s="50" t="s">
        <v>1073</v>
      </c>
      <c r="D248" s="50" t="s">
        <v>596</v>
      </c>
      <c r="E248" s="49" t="s">
        <v>233</v>
      </c>
      <c r="F248" s="27">
        <f t="shared" si="29"/>
        <v>2676808</v>
      </c>
      <c r="G248" s="27">
        <f>2453308+((40000))+(34500)+(7000)+(20000)+(23000)+20000+(36000)+(10000)+(10000)+(23000)</f>
        <v>2676808</v>
      </c>
      <c r="H248" s="27"/>
      <c r="I248" s="27"/>
      <c r="J248" s="27"/>
      <c r="K248" s="26">
        <f t="shared" si="30"/>
        <v>191000</v>
      </c>
      <c r="L248" s="27"/>
      <c r="M248" s="27"/>
      <c r="N248" s="27"/>
      <c r="O248" s="27">
        <f>P248</f>
        <v>191000</v>
      </c>
      <c r="P248" s="27">
        <f>((170000))+(12000)+(9000)</f>
        <v>191000</v>
      </c>
      <c r="Q248" s="26">
        <f t="shared" si="31"/>
        <v>2867808</v>
      </c>
    </row>
    <row r="249" spans="1:17" ht="25.5">
      <c r="A249" s="89" t="s">
        <v>414</v>
      </c>
      <c r="B249" s="90" t="s">
        <v>46</v>
      </c>
      <c r="C249" s="90" t="s">
        <v>1074</v>
      </c>
      <c r="D249" s="90" t="s">
        <v>598</v>
      </c>
      <c r="E249" s="91" t="s">
        <v>326</v>
      </c>
      <c r="F249" s="92">
        <f t="shared" si="29"/>
        <v>67573965</v>
      </c>
      <c r="G249" s="92">
        <f>G250</f>
        <v>67573965</v>
      </c>
      <c r="H249" s="92">
        <f>H250</f>
        <v>0</v>
      </c>
      <c r="I249" s="92">
        <f>I250</f>
        <v>0</v>
      </c>
      <c r="J249" s="92">
        <f>J250</f>
        <v>0</v>
      </c>
      <c r="K249" s="92">
        <f t="shared" si="30"/>
        <v>0</v>
      </c>
      <c r="L249" s="92">
        <f>L250</f>
        <v>0</v>
      </c>
      <c r="M249" s="92">
        <f>M250</f>
        <v>0</v>
      </c>
      <c r="N249" s="92">
        <f>N250</f>
        <v>0</v>
      </c>
      <c r="O249" s="92">
        <f>O250</f>
        <v>0</v>
      </c>
      <c r="P249" s="92">
        <f>P250</f>
        <v>0</v>
      </c>
      <c r="Q249" s="92">
        <f t="shared" si="31"/>
        <v>67573965</v>
      </c>
    </row>
    <row r="250" spans="1:17" s="174" customFormat="1" ht="42" customHeight="1" hidden="1">
      <c r="A250" s="170" t="s">
        <v>384</v>
      </c>
      <c r="B250" s="171" t="s">
        <v>46</v>
      </c>
      <c r="C250" s="170" t="s">
        <v>1075</v>
      </c>
      <c r="D250" s="170" t="s">
        <v>598</v>
      </c>
      <c r="E250" s="172" t="s">
        <v>490</v>
      </c>
      <c r="F250" s="173">
        <f t="shared" si="29"/>
        <v>67573965</v>
      </c>
      <c r="G250" s="173">
        <f>46926406+(9600000)+(22400000)-(104000)-(1959587)-(234332)-(1438265)-(1664617)-(545240)-(306832)-(10000)-(2100649)-(1632751)-(253559)-(5000)-(160000)-439200-(615101)-(1023348)-(331775)-(7500)+393600-597222-(393900)-(1262333)+(12800000)-(1327890)-(153280)-(2357750)-(78000)-(654500)-(1219340)-230000-(1364692)-(1642101)-(7000)-(31500)-(32000)-(53292)-(64080)-(245405)</f>
        <v>67573965</v>
      </c>
      <c r="H250" s="173"/>
      <c r="I250" s="173"/>
      <c r="J250" s="173"/>
      <c r="K250" s="173">
        <f t="shared" si="30"/>
        <v>0</v>
      </c>
      <c r="L250" s="173"/>
      <c r="M250" s="173"/>
      <c r="N250" s="173"/>
      <c r="O250" s="173"/>
      <c r="P250" s="173"/>
      <c r="Q250" s="173">
        <f t="shared" si="31"/>
        <v>67573965</v>
      </c>
    </row>
    <row r="251" spans="1:17" ht="12.75">
      <c r="A251" s="112" t="s">
        <v>642</v>
      </c>
      <c r="B251" s="111" t="s">
        <v>628</v>
      </c>
      <c r="C251" s="111" t="s">
        <v>1020</v>
      </c>
      <c r="D251" s="111"/>
      <c r="E251" s="122" t="s">
        <v>630</v>
      </c>
      <c r="F251" s="123">
        <f t="shared" si="29"/>
        <v>0</v>
      </c>
      <c r="G251" s="123">
        <f>G252</f>
        <v>0</v>
      </c>
      <c r="H251" s="123">
        <f>H252</f>
        <v>0</v>
      </c>
      <c r="I251" s="123">
        <f>I252</f>
        <v>0</v>
      </c>
      <c r="J251" s="123">
        <f>J252</f>
        <v>0</v>
      </c>
      <c r="K251" s="123">
        <f t="shared" si="30"/>
        <v>2537048</v>
      </c>
      <c r="L251" s="123">
        <f>L252</f>
        <v>0</v>
      </c>
      <c r="M251" s="123">
        <f>M252</f>
        <v>0</v>
      </c>
      <c r="N251" s="123">
        <f>N252</f>
        <v>0</v>
      </c>
      <c r="O251" s="123">
        <f>O252</f>
        <v>2537048</v>
      </c>
      <c r="P251" s="123">
        <f>P252</f>
        <v>2537048</v>
      </c>
      <c r="Q251" s="123">
        <f t="shared" si="31"/>
        <v>2537048</v>
      </c>
    </row>
    <row r="252" spans="1:17" ht="25.5">
      <c r="A252" s="50" t="s">
        <v>235</v>
      </c>
      <c r="B252" s="28" t="s">
        <v>87</v>
      </c>
      <c r="C252" s="50" t="s">
        <v>980</v>
      </c>
      <c r="D252" s="50" t="s">
        <v>576</v>
      </c>
      <c r="E252" s="49" t="s">
        <v>174</v>
      </c>
      <c r="F252" s="26">
        <f t="shared" si="29"/>
        <v>0</v>
      </c>
      <c r="G252" s="27"/>
      <c r="H252" s="27"/>
      <c r="I252" s="27"/>
      <c r="J252" s="27"/>
      <c r="K252" s="26">
        <f t="shared" si="30"/>
        <v>2537048</v>
      </c>
      <c r="L252" s="27"/>
      <c r="M252" s="27"/>
      <c r="N252" s="27"/>
      <c r="O252" s="27">
        <f>P252</f>
        <v>2537048</v>
      </c>
      <c r="P252" s="27">
        <f>7500000-230880-2900000-1732072-100000</f>
        <v>2537048</v>
      </c>
      <c r="Q252" s="26">
        <f t="shared" si="31"/>
        <v>2537048</v>
      </c>
    </row>
    <row r="253" spans="1:17" s="41" customFormat="1" ht="12.75" hidden="1">
      <c r="A253" s="112" t="s">
        <v>907</v>
      </c>
      <c r="B253" s="111" t="s">
        <v>98</v>
      </c>
      <c r="C253" s="111" t="s">
        <v>1015</v>
      </c>
      <c r="D253" s="111"/>
      <c r="E253" s="122" t="s">
        <v>99</v>
      </c>
      <c r="F253" s="27">
        <f>G253+J253</f>
        <v>0</v>
      </c>
      <c r="G253" s="114">
        <f aca="true" t="shared" si="32" ref="G253:J254">G254</f>
        <v>0</v>
      </c>
      <c r="H253" s="114">
        <f t="shared" si="32"/>
        <v>0</v>
      </c>
      <c r="I253" s="114">
        <f t="shared" si="32"/>
        <v>0</v>
      </c>
      <c r="J253" s="114">
        <f t="shared" si="32"/>
        <v>0</v>
      </c>
      <c r="K253" s="27">
        <f>L253+O253</f>
        <v>0</v>
      </c>
      <c r="L253" s="114">
        <f aca="true" t="shared" si="33" ref="L253:P254">L254</f>
        <v>0</v>
      </c>
      <c r="M253" s="114">
        <f t="shared" si="33"/>
        <v>0</v>
      </c>
      <c r="N253" s="114">
        <f t="shared" si="33"/>
        <v>0</v>
      </c>
      <c r="O253" s="114">
        <f t="shared" si="33"/>
        <v>0</v>
      </c>
      <c r="P253" s="114">
        <f t="shared" si="33"/>
        <v>0</v>
      </c>
      <c r="Q253" s="27">
        <f>F253+K253</f>
        <v>0</v>
      </c>
    </row>
    <row r="254" spans="1:17" ht="54.75" customHeight="1" hidden="1">
      <c r="A254" s="93" t="s">
        <v>908</v>
      </c>
      <c r="B254" s="85" t="s">
        <v>53</v>
      </c>
      <c r="C254" s="85" t="s">
        <v>992</v>
      </c>
      <c r="D254" s="85" t="s">
        <v>577</v>
      </c>
      <c r="E254" s="87" t="s">
        <v>431</v>
      </c>
      <c r="F254" s="26">
        <f>G254+J254</f>
        <v>0</v>
      </c>
      <c r="G254" s="88">
        <f t="shared" si="32"/>
        <v>0</v>
      </c>
      <c r="H254" s="88">
        <f t="shared" si="32"/>
        <v>0</v>
      </c>
      <c r="I254" s="88">
        <f t="shared" si="32"/>
        <v>0</v>
      </c>
      <c r="J254" s="88">
        <f t="shared" si="32"/>
        <v>0</v>
      </c>
      <c r="K254" s="26">
        <f>L254+O254</f>
        <v>0</v>
      </c>
      <c r="L254" s="88">
        <f t="shared" si="33"/>
        <v>0</v>
      </c>
      <c r="M254" s="88">
        <f t="shared" si="33"/>
        <v>0</v>
      </c>
      <c r="N254" s="88">
        <f t="shared" si="33"/>
        <v>0</v>
      </c>
      <c r="O254" s="88">
        <f t="shared" si="33"/>
        <v>0</v>
      </c>
      <c r="P254" s="88">
        <f t="shared" si="33"/>
        <v>0</v>
      </c>
      <c r="Q254" s="26">
        <f>F254+K254</f>
        <v>0</v>
      </c>
    </row>
    <row r="255" spans="1:17" ht="25.5" hidden="1">
      <c r="A255" s="59" t="s">
        <v>909</v>
      </c>
      <c r="B255" s="28" t="s">
        <v>53</v>
      </c>
      <c r="C255" s="50" t="s">
        <v>993</v>
      </c>
      <c r="D255" s="50" t="s">
        <v>577</v>
      </c>
      <c r="E255" s="48" t="s">
        <v>175</v>
      </c>
      <c r="F255" s="26">
        <f>G255+J255</f>
        <v>0</v>
      </c>
      <c r="G255" s="27"/>
      <c r="H255" s="27"/>
      <c r="I255" s="27"/>
      <c r="J255" s="27"/>
      <c r="K255" s="26">
        <f>L255+O255</f>
        <v>0</v>
      </c>
      <c r="L255" s="27"/>
      <c r="M255" s="27"/>
      <c r="N255" s="27"/>
      <c r="O255" s="27"/>
      <c r="P255" s="27"/>
      <c r="Q255" s="26">
        <f>F255+K255</f>
        <v>0</v>
      </c>
    </row>
    <row r="256" spans="1:18" ht="25.5">
      <c r="A256" s="62" t="s">
        <v>236</v>
      </c>
      <c r="B256" s="62" t="s">
        <v>156</v>
      </c>
      <c r="C256" s="62" t="s">
        <v>156</v>
      </c>
      <c r="D256" s="62"/>
      <c r="E256" s="61" t="s">
        <v>141</v>
      </c>
      <c r="F256" s="39">
        <f>G256+J256</f>
        <v>7356062</v>
      </c>
      <c r="G256" s="39">
        <f>G257</f>
        <v>7356062</v>
      </c>
      <c r="H256" s="39">
        <f>H257</f>
        <v>4879635</v>
      </c>
      <c r="I256" s="39">
        <f>I257</f>
        <v>180823</v>
      </c>
      <c r="J256" s="39">
        <f>J257</f>
        <v>0</v>
      </c>
      <c r="K256" s="39">
        <f>L256+O256</f>
        <v>108583</v>
      </c>
      <c r="L256" s="39">
        <f>L257</f>
        <v>0</v>
      </c>
      <c r="M256" s="39">
        <f>M257</f>
        <v>0</v>
      </c>
      <c r="N256" s="39">
        <f>N257</f>
        <v>0</v>
      </c>
      <c r="O256" s="39">
        <f>O257</f>
        <v>108583</v>
      </c>
      <c r="P256" s="39">
        <f>P257</f>
        <v>108583</v>
      </c>
      <c r="Q256" s="40">
        <f>F256+K256</f>
        <v>7464645</v>
      </c>
      <c r="R256" s="164"/>
    </row>
    <row r="257" spans="1:17" ht="25.5">
      <c r="A257" s="31" t="s">
        <v>237</v>
      </c>
      <c r="B257" s="31"/>
      <c r="C257" s="31"/>
      <c r="D257" s="31"/>
      <c r="E257" s="49" t="s">
        <v>141</v>
      </c>
      <c r="F257" s="27">
        <f>G257+J257</f>
        <v>7356062</v>
      </c>
      <c r="G257" s="27">
        <f>G258+G260+G262</f>
        <v>7356062</v>
      </c>
      <c r="H257" s="27">
        <f>H258+H260+H262</f>
        <v>4879635</v>
      </c>
      <c r="I257" s="27">
        <f>I258+I260+I262</f>
        <v>180823</v>
      </c>
      <c r="J257" s="27">
        <f>J258+J260+J262</f>
        <v>0</v>
      </c>
      <c r="K257" s="27">
        <f>L257+O257</f>
        <v>108583</v>
      </c>
      <c r="L257" s="27">
        <f>L258+L260+L262</f>
        <v>0</v>
      </c>
      <c r="M257" s="27">
        <f>M258+M260+M262</f>
        <v>0</v>
      </c>
      <c r="N257" s="27">
        <f>N258+N260+N262</f>
        <v>0</v>
      </c>
      <c r="O257" s="27">
        <f>O258+O260+O262</f>
        <v>108583</v>
      </c>
      <c r="P257" s="27">
        <f>P258+P260+P262</f>
        <v>108583</v>
      </c>
      <c r="Q257" s="27">
        <f>F257+K257</f>
        <v>7464645</v>
      </c>
    </row>
    <row r="258" spans="1:17" ht="12.75">
      <c r="A258" s="112" t="s">
        <v>680</v>
      </c>
      <c r="B258" s="111" t="s">
        <v>671</v>
      </c>
      <c r="C258" s="111" t="s">
        <v>972</v>
      </c>
      <c r="D258" s="111"/>
      <c r="E258" s="127" t="s">
        <v>673</v>
      </c>
      <c r="F258" s="27">
        <f aca="true" t="shared" si="34" ref="F258:F264">G258+J258</f>
        <v>6537131</v>
      </c>
      <c r="G258" s="114">
        <f>G259</f>
        <v>6537131</v>
      </c>
      <c r="H258" s="114">
        <f>H259</f>
        <v>4879635</v>
      </c>
      <c r="I258" s="114">
        <f>I259</f>
        <v>180823</v>
      </c>
      <c r="J258" s="114">
        <f>J259</f>
        <v>0</v>
      </c>
      <c r="K258" s="27">
        <f aca="true" t="shared" si="35" ref="K258:K264">L258+O258</f>
        <v>0</v>
      </c>
      <c r="L258" s="114">
        <f>L259</f>
        <v>0</v>
      </c>
      <c r="M258" s="114">
        <f>M259</f>
        <v>0</v>
      </c>
      <c r="N258" s="114">
        <f>N259</f>
        <v>0</v>
      </c>
      <c r="O258" s="114">
        <f>O259</f>
        <v>0</v>
      </c>
      <c r="P258" s="114">
        <f>P259</f>
        <v>0</v>
      </c>
      <c r="Q258" s="27">
        <f aca="true" t="shared" si="36" ref="Q258:Q264">F258+K258</f>
        <v>6537131</v>
      </c>
    </row>
    <row r="259" spans="1:17" ht="25.5">
      <c r="A259" s="50" t="s">
        <v>4</v>
      </c>
      <c r="B259" s="28" t="s">
        <v>33</v>
      </c>
      <c r="C259" s="50" t="s">
        <v>613</v>
      </c>
      <c r="D259" s="50" t="s">
        <v>574</v>
      </c>
      <c r="E259" s="51" t="s">
        <v>1188</v>
      </c>
      <c r="F259" s="27">
        <f t="shared" si="34"/>
        <v>6537131</v>
      </c>
      <c r="G259" s="27">
        <f>5533212-129273+18866+1098957+15369</f>
        <v>6537131</v>
      </c>
      <c r="H259" s="27">
        <f>3969668+897313+12654</f>
        <v>4879635</v>
      </c>
      <c r="I259" s="27">
        <v>180823</v>
      </c>
      <c r="J259" s="27"/>
      <c r="K259" s="27">
        <f t="shared" si="35"/>
        <v>0</v>
      </c>
      <c r="L259" s="27"/>
      <c r="M259" s="27"/>
      <c r="N259" s="27"/>
      <c r="O259" s="27"/>
      <c r="P259" s="27"/>
      <c r="Q259" s="27">
        <f t="shared" si="36"/>
        <v>6537131</v>
      </c>
    </row>
    <row r="260" spans="1:17" s="2" customFormat="1" ht="13.5" customHeight="1">
      <c r="A260" s="116" t="s">
        <v>1138</v>
      </c>
      <c r="B260" s="116" t="s">
        <v>620</v>
      </c>
      <c r="C260" s="116" t="s">
        <v>1036</v>
      </c>
      <c r="D260" s="116"/>
      <c r="E260" s="120" t="s">
        <v>622</v>
      </c>
      <c r="F260" s="26">
        <f t="shared" si="34"/>
        <v>312136</v>
      </c>
      <c r="G260" s="121">
        <f>G261</f>
        <v>312136</v>
      </c>
      <c r="H260" s="121">
        <f>H261</f>
        <v>0</v>
      </c>
      <c r="I260" s="121">
        <f>I261</f>
        <v>0</v>
      </c>
      <c r="J260" s="121">
        <f>J261</f>
        <v>0</v>
      </c>
      <c r="K260" s="26">
        <f t="shared" si="35"/>
        <v>108583</v>
      </c>
      <c r="L260" s="121">
        <f>L261</f>
        <v>0</v>
      </c>
      <c r="M260" s="121">
        <f>M261</f>
        <v>0</v>
      </c>
      <c r="N260" s="121">
        <f>N261</f>
        <v>0</v>
      </c>
      <c r="O260" s="121">
        <f>O261</f>
        <v>108583</v>
      </c>
      <c r="P260" s="121">
        <f>P261</f>
        <v>108583</v>
      </c>
      <c r="Q260" s="133">
        <f t="shared" si="36"/>
        <v>420719</v>
      </c>
    </row>
    <row r="261" spans="1:17" ht="91.5" customHeight="1">
      <c r="A261" s="50" t="s">
        <v>858</v>
      </c>
      <c r="B261" s="7" t="s">
        <v>31</v>
      </c>
      <c r="C261" s="7" t="s">
        <v>588</v>
      </c>
      <c r="D261" s="7" t="s">
        <v>578</v>
      </c>
      <c r="E261" s="10" t="s">
        <v>1179</v>
      </c>
      <c r="F261" s="27">
        <f t="shared" si="34"/>
        <v>312136</v>
      </c>
      <c r="G261" s="27">
        <v>312136</v>
      </c>
      <c r="H261" s="27"/>
      <c r="I261" s="27"/>
      <c r="J261" s="27"/>
      <c r="K261" s="27">
        <f t="shared" si="35"/>
        <v>108583</v>
      </c>
      <c r="L261" s="27"/>
      <c r="M261" s="27"/>
      <c r="N261" s="27"/>
      <c r="O261" s="27">
        <f>P261</f>
        <v>108583</v>
      </c>
      <c r="P261" s="27">
        <v>108583</v>
      </c>
      <c r="Q261" s="27">
        <f t="shared" si="36"/>
        <v>420719</v>
      </c>
    </row>
    <row r="262" spans="1:17" s="2" customFormat="1" ht="25.5">
      <c r="A262" s="116" t="s">
        <v>1137</v>
      </c>
      <c r="B262" s="116" t="s">
        <v>623</v>
      </c>
      <c r="C262" s="116" t="s">
        <v>1104</v>
      </c>
      <c r="D262" s="116"/>
      <c r="E262" s="120" t="s">
        <v>625</v>
      </c>
      <c r="F262" s="26">
        <f t="shared" si="34"/>
        <v>506795</v>
      </c>
      <c r="G262" s="121">
        <f>G263</f>
        <v>506795</v>
      </c>
      <c r="H262" s="134">
        <f aca="true" t="shared" si="37" ref="H262:J263">H263</f>
        <v>0</v>
      </c>
      <c r="I262" s="134">
        <f t="shared" si="37"/>
        <v>0</v>
      </c>
      <c r="J262" s="134">
        <f t="shared" si="37"/>
        <v>0</v>
      </c>
      <c r="K262" s="26">
        <f t="shared" si="35"/>
        <v>0</v>
      </c>
      <c r="L262" s="134">
        <f aca="true" t="shared" si="38" ref="L262:P263">L263</f>
        <v>0</v>
      </c>
      <c r="M262" s="134">
        <f t="shared" si="38"/>
        <v>0</v>
      </c>
      <c r="N262" s="134">
        <f t="shared" si="38"/>
        <v>0</v>
      </c>
      <c r="O262" s="134">
        <f t="shared" si="38"/>
        <v>0</v>
      </c>
      <c r="P262" s="134">
        <f t="shared" si="38"/>
        <v>0</v>
      </c>
      <c r="Q262" s="133">
        <f t="shared" si="36"/>
        <v>506795</v>
      </c>
    </row>
    <row r="263" spans="1:17" ht="25.5">
      <c r="A263" s="50" t="s">
        <v>862</v>
      </c>
      <c r="B263" s="7"/>
      <c r="C263" s="7" t="s">
        <v>1076</v>
      </c>
      <c r="D263" s="7"/>
      <c r="E263" s="48" t="s">
        <v>861</v>
      </c>
      <c r="F263" s="27">
        <f t="shared" si="34"/>
        <v>506795</v>
      </c>
      <c r="G263" s="27">
        <f>G264</f>
        <v>506795</v>
      </c>
      <c r="H263" s="27">
        <f t="shared" si="37"/>
        <v>0</v>
      </c>
      <c r="I263" s="27">
        <f t="shared" si="37"/>
        <v>0</v>
      </c>
      <c r="J263" s="27">
        <f t="shared" si="37"/>
        <v>0</v>
      </c>
      <c r="K263" s="27">
        <f t="shared" si="35"/>
        <v>0</v>
      </c>
      <c r="L263" s="27">
        <f t="shared" si="38"/>
        <v>0</v>
      </c>
      <c r="M263" s="27">
        <f t="shared" si="38"/>
        <v>0</v>
      </c>
      <c r="N263" s="27">
        <f t="shared" si="38"/>
        <v>0</v>
      </c>
      <c r="O263" s="27">
        <f t="shared" si="38"/>
        <v>0</v>
      </c>
      <c r="P263" s="27">
        <f t="shared" si="38"/>
        <v>0</v>
      </c>
      <c r="Q263" s="27">
        <f t="shared" si="36"/>
        <v>506795</v>
      </c>
    </row>
    <row r="264" spans="1:17" ht="39" customHeight="1">
      <c r="A264" s="50" t="s">
        <v>859</v>
      </c>
      <c r="B264" s="7" t="s">
        <v>854</v>
      </c>
      <c r="C264" s="7" t="s">
        <v>1077</v>
      </c>
      <c r="D264" s="7" t="s">
        <v>855</v>
      </c>
      <c r="E264" s="10" t="s">
        <v>860</v>
      </c>
      <c r="F264" s="27">
        <f t="shared" si="34"/>
        <v>506795</v>
      </c>
      <c r="G264" s="27">
        <v>506795</v>
      </c>
      <c r="H264" s="27"/>
      <c r="I264" s="27"/>
      <c r="J264" s="27"/>
      <c r="K264" s="27">
        <f t="shared" si="35"/>
        <v>0</v>
      </c>
      <c r="L264" s="27"/>
      <c r="M264" s="27"/>
      <c r="N264" s="27"/>
      <c r="O264" s="27"/>
      <c r="P264" s="27"/>
      <c r="Q264" s="27">
        <f t="shared" si="36"/>
        <v>506795</v>
      </c>
    </row>
    <row r="265" spans="1:18" s="2" customFormat="1" ht="40.5" customHeight="1">
      <c r="A265" s="11" t="s">
        <v>238</v>
      </c>
      <c r="B265" s="11" t="s">
        <v>152</v>
      </c>
      <c r="C265" s="11" t="s">
        <v>152</v>
      </c>
      <c r="D265" s="11"/>
      <c r="E265" s="13" t="s">
        <v>813</v>
      </c>
      <c r="F265" s="21">
        <f aca="true" t="shared" si="39" ref="F265:F270">G265+J265</f>
        <v>3264205</v>
      </c>
      <c r="G265" s="21">
        <f>G266</f>
        <v>3264205</v>
      </c>
      <c r="H265" s="21">
        <f aca="true" t="shared" si="40" ref="H265:J267">H266</f>
        <v>2325683</v>
      </c>
      <c r="I265" s="21">
        <f t="shared" si="40"/>
        <v>83453</v>
      </c>
      <c r="J265" s="21">
        <f t="shared" si="40"/>
        <v>0</v>
      </c>
      <c r="K265" s="21">
        <f aca="true" t="shared" si="41" ref="K265:K270">L265+O265</f>
        <v>0</v>
      </c>
      <c r="L265" s="21">
        <f aca="true" t="shared" si="42" ref="L265:P267">L266</f>
        <v>0</v>
      </c>
      <c r="M265" s="21">
        <f t="shared" si="42"/>
        <v>0</v>
      </c>
      <c r="N265" s="21">
        <f t="shared" si="42"/>
        <v>0</v>
      </c>
      <c r="O265" s="21">
        <f t="shared" si="42"/>
        <v>0</v>
      </c>
      <c r="P265" s="21">
        <f t="shared" si="42"/>
        <v>0</v>
      </c>
      <c r="Q265" s="40">
        <f aca="true" t="shared" si="43" ref="Q265:Q270">F265+K265</f>
        <v>3264205</v>
      </c>
      <c r="R265" s="191"/>
    </row>
    <row r="266" spans="1:17" s="2" customFormat="1" ht="39.75" customHeight="1">
      <c r="A266" s="7" t="s">
        <v>239</v>
      </c>
      <c r="B266" s="7"/>
      <c r="C266" s="7"/>
      <c r="D266" s="7"/>
      <c r="E266" s="124" t="s">
        <v>813</v>
      </c>
      <c r="F266" s="18">
        <f t="shared" si="39"/>
        <v>3264205</v>
      </c>
      <c r="G266" s="18">
        <f>G267</f>
        <v>3264205</v>
      </c>
      <c r="H266" s="18">
        <f t="shared" si="40"/>
        <v>2325683</v>
      </c>
      <c r="I266" s="18">
        <f t="shared" si="40"/>
        <v>83453</v>
      </c>
      <c r="J266" s="18">
        <f t="shared" si="40"/>
        <v>0</v>
      </c>
      <c r="K266" s="18">
        <f t="shared" si="41"/>
        <v>0</v>
      </c>
      <c r="L266" s="18">
        <f t="shared" si="42"/>
        <v>0</v>
      </c>
      <c r="M266" s="18">
        <f t="shared" si="42"/>
        <v>0</v>
      </c>
      <c r="N266" s="18">
        <f t="shared" si="42"/>
        <v>0</v>
      </c>
      <c r="O266" s="18">
        <f t="shared" si="42"/>
        <v>0</v>
      </c>
      <c r="P266" s="18">
        <f t="shared" si="42"/>
        <v>0</v>
      </c>
      <c r="Q266" s="18">
        <f t="shared" si="43"/>
        <v>3264205</v>
      </c>
    </row>
    <row r="267" spans="1:17" s="2" customFormat="1" ht="12.75">
      <c r="A267" s="117" t="s">
        <v>681</v>
      </c>
      <c r="B267" s="116" t="s">
        <v>671</v>
      </c>
      <c r="C267" s="116" t="s">
        <v>972</v>
      </c>
      <c r="D267" s="116"/>
      <c r="E267" s="124" t="s">
        <v>673</v>
      </c>
      <c r="F267" s="18">
        <f t="shared" si="39"/>
        <v>3264205</v>
      </c>
      <c r="G267" s="121">
        <f>G268</f>
        <v>3264205</v>
      </c>
      <c r="H267" s="121">
        <f t="shared" si="40"/>
        <v>2325683</v>
      </c>
      <c r="I267" s="121">
        <f t="shared" si="40"/>
        <v>83453</v>
      </c>
      <c r="J267" s="121">
        <f t="shared" si="40"/>
        <v>0</v>
      </c>
      <c r="K267" s="18">
        <f t="shared" si="41"/>
        <v>0</v>
      </c>
      <c r="L267" s="121">
        <f t="shared" si="42"/>
        <v>0</v>
      </c>
      <c r="M267" s="121">
        <f t="shared" si="42"/>
        <v>0</v>
      </c>
      <c r="N267" s="121">
        <f t="shared" si="42"/>
        <v>0</v>
      </c>
      <c r="O267" s="121">
        <f t="shared" si="42"/>
        <v>0</v>
      </c>
      <c r="P267" s="121">
        <f t="shared" si="42"/>
        <v>0</v>
      </c>
      <c r="Q267" s="18">
        <f t="shared" si="43"/>
        <v>3264205</v>
      </c>
    </row>
    <row r="268" spans="1:17" s="2" customFormat="1" ht="25.5">
      <c r="A268" s="6" t="s">
        <v>5</v>
      </c>
      <c r="B268" s="6" t="s">
        <v>33</v>
      </c>
      <c r="C268" s="6" t="s">
        <v>613</v>
      </c>
      <c r="D268" s="6" t="s">
        <v>574</v>
      </c>
      <c r="E268" s="51" t="s">
        <v>890</v>
      </c>
      <c r="F268" s="18">
        <f t="shared" si="39"/>
        <v>3264205</v>
      </c>
      <c r="G268" s="18">
        <f>2654680-62535+74685+590276+7099</f>
        <v>3264205</v>
      </c>
      <c r="H268" s="18">
        <f>1786390+61217+472257+5819</f>
        <v>2325683</v>
      </c>
      <c r="I268" s="18">
        <v>83453</v>
      </c>
      <c r="J268" s="18"/>
      <c r="K268" s="18">
        <f t="shared" si="41"/>
        <v>0</v>
      </c>
      <c r="L268" s="18"/>
      <c r="M268" s="18"/>
      <c r="N268" s="18"/>
      <c r="O268" s="18"/>
      <c r="P268" s="18"/>
      <c r="Q268" s="18">
        <f t="shared" si="43"/>
        <v>3264205</v>
      </c>
    </row>
    <row r="269" spans="1:18" ht="25.5">
      <c r="A269" s="62" t="s">
        <v>240</v>
      </c>
      <c r="B269" s="62" t="s">
        <v>161</v>
      </c>
      <c r="C269" s="62" t="s">
        <v>161</v>
      </c>
      <c r="D269" s="62"/>
      <c r="E269" s="61" t="s">
        <v>798</v>
      </c>
      <c r="F269" s="39">
        <f t="shared" si="39"/>
        <v>144990793</v>
      </c>
      <c r="G269" s="39">
        <f>G270</f>
        <v>144990793</v>
      </c>
      <c r="H269" s="39">
        <f>H270</f>
        <v>97284288</v>
      </c>
      <c r="I269" s="39">
        <f>I270</f>
        <v>7534351</v>
      </c>
      <c r="J269" s="39">
        <f>J270</f>
        <v>0</v>
      </c>
      <c r="K269" s="39">
        <f t="shared" si="41"/>
        <v>22126961</v>
      </c>
      <c r="L269" s="39">
        <f>L270</f>
        <v>7140037</v>
      </c>
      <c r="M269" s="39">
        <f>M270</f>
        <v>3635393</v>
      </c>
      <c r="N269" s="39">
        <f>N270</f>
        <v>868395</v>
      </c>
      <c r="O269" s="39">
        <f>O270</f>
        <v>14986924</v>
      </c>
      <c r="P269" s="39">
        <f>P270</f>
        <v>13986924</v>
      </c>
      <c r="Q269" s="40">
        <f t="shared" si="43"/>
        <v>167117754</v>
      </c>
      <c r="R269" s="164"/>
    </row>
    <row r="270" spans="1:17" ht="25.5">
      <c r="A270" s="59" t="s">
        <v>241</v>
      </c>
      <c r="B270" s="31"/>
      <c r="C270" s="31"/>
      <c r="D270" s="31"/>
      <c r="E270" s="69" t="s">
        <v>798</v>
      </c>
      <c r="F270" s="26">
        <f t="shared" si="39"/>
        <v>144990793</v>
      </c>
      <c r="G270" s="26">
        <f>G271+G273+G287+G285</f>
        <v>144990793</v>
      </c>
      <c r="H270" s="26">
        <f>H271+H273+H287+H285</f>
        <v>97284288</v>
      </c>
      <c r="I270" s="26">
        <f>I271+I273+I287+I285</f>
        <v>7534351</v>
      </c>
      <c r="J270" s="26">
        <f>J271+J273+J287+J285</f>
        <v>0</v>
      </c>
      <c r="K270" s="26">
        <f t="shared" si="41"/>
        <v>22126961</v>
      </c>
      <c r="L270" s="26">
        <f>L271+L273+L287+L285+L289</f>
        <v>7140037</v>
      </c>
      <c r="M270" s="26">
        <f>M271+M273+M287+M285</f>
        <v>3635393</v>
      </c>
      <c r="N270" s="26">
        <f>N271+N273+N287+N285</f>
        <v>868395</v>
      </c>
      <c r="O270" s="26">
        <f>O271+O273+O287+O285+O289</f>
        <v>14986924</v>
      </c>
      <c r="P270" s="26">
        <f>P271+P273+P287+P285+P289</f>
        <v>13986924</v>
      </c>
      <c r="Q270" s="26">
        <f t="shared" si="43"/>
        <v>167117754</v>
      </c>
    </row>
    <row r="271" spans="1:17" ht="12.75">
      <c r="A271" s="112" t="s">
        <v>682</v>
      </c>
      <c r="B271" s="111" t="s">
        <v>671</v>
      </c>
      <c r="C271" s="111" t="s">
        <v>972</v>
      </c>
      <c r="D271" s="111"/>
      <c r="E271" s="128" t="s">
        <v>673</v>
      </c>
      <c r="F271" s="26">
        <f aca="true" t="shared" si="44" ref="F271:F288">G271+J271</f>
        <v>2863204</v>
      </c>
      <c r="G271" s="123">
        <f>G272</f>
        <v>2863204</v>
      </c>
      <c r="H271" s="123">
        <f>H272</f>
        <v>2156971</v>
      </c>
      <c r="I271" s="123">
        <f>I272</f>
        <v>157181</v>
      </c>
      <c r="J271" s="123">
        <f>J272</f>
        <v>0</v>
      </c>
      <c r="K271" s="26">
        <f aca="true" t="shared" si="45" ref="K271:K288">L271+O271</f>
        <v>1546654</v>
      </c>
      <c r="L271" s="123">
        <f>L272</f>
        <v>0</v>
      </c>
      <c r="M271" s="123">
        <f>M272</f>
        <v>0</v>
      </c>
      <c r="N271" s="123">
        <f>N272</f>
        <v>0</v>
      </c>
      <c r="O271" s="123">
        <f>O272</f>
        <v>1546654</v>
      </c>
      <c r="P271" s="123">
        <f>P272</f>
        <v>1546654</v>
      </c>
      <c r="Q271" s="26">
        <f aca="true" t="shared" si="46" ref="Q271:Q288">F271+K271</f>
        <v>4409858</v>
      </c>
    </row>
    <row r="272" spans="1:17" ht="25.5">
      <c r="A272" s="50" t="s">
        <v>6</v>
      </c>
      <c r="B272" s="28" t="s">
        <v>33</v>
      </c>
      <c r="C272" s="50" t="s">
        <v>613</v>
      </c>
      <c r="D272" s="50" t="s">
        <v>574</v>
      </c>
      <c r="E272" s="51" t="s">
        <v>971</v>
      </c>
      <c r="F272" s="26">
        <f t="shared" si="44"/>
        <v>2863204</v>
      </c>
      <c r="G272" s="27">
        <f>2630606-41423+266749+7272</f>
        <v>2863204</v>
      </c>
      <c r="H272" s="27">
        <f>1949043+201910+6018</f>
        <v>2156971</v>
      </c>
      <c r="I272" s="27">
        <v>157181</v>
      </c>
      <c r="J272" s="27"/>
      <c r="K272" s="26">
        <f t="shared" si="45"/>
        <v>1546654</v>
      </c>
      <c r="L272" s="27"/>
      <c r="M272" s="27"/>
      <c r="N272" s="27"/>
      <c r="O272" s="27">
        <f>P272</f>
        <v>1546654</v>
      </c>
      <c r="P272" s="27">
        <v>1546654</v>
      </c>
      <c r="Q272" s="26">
        <f t="shared" si="46"/>
        <v>4409858</v>
      </c>
    </row>
    <row r="273" spans="1:17" ht="12.75">
      <c r="A273" s="112" t="s">
        <v>658</v>
      </c>
      <c r="B273" s="112" t="s">
        <v>659</v>
      </c>
      <c r="C273" s="112" t="s">
        <v>1078</v>
      </c>
      <c r="D273" s="112"/>
      <c r="E273" s="113" t="s">
        <v>657</v>
      </c>
      <c r="F273" s="26">
        <f t="shared" si="44"/>
        <v>141076699</v>
      </c>
      <c r="G273" s="114">
        <f>G274+G275+G276+G277+G278+G279</f>
        <v>141076699</v>
      </c>
      <c r="H273" s="114">
        <f>H274+H275+H276+H277+H278+H279</f>
        <v>95067417</v>
      </c>
      <c r="I273" s="114">
        <f>I274+I275+I276+I277+I278+I279</f>
        <v>7377170</v>
      </c>
      <c r="J273" s="114">
        <f>J274+J275+J276+J277+J278+J279</f>
        <v>0</v>
      </c>
      <c r="K273" s="26">
        <f t="shared" si="45"/>
        <v>18104757</v>
      </c>
      <c r="L273" s="114">
        <f>L274+L275+L276+L277+L278+L279</f>
        <v>7140037</v>
      </c>
      <c r="M273" s="114">
        <f>M274+M275+M276+M277+M278+M279</f>
        <v>3635393</v>
      </c>
      <c r="N273" s="114">
        <f>N274+N275+N276+N277+N278+N279</f>
        <v>868395</v>
      </c>
      <c r="O273" s="114">
        <f>O274+O275+O276+O277+O278+O279</f>
        <v>10964720</v>
      </c>
      <c r="P273" s="114">
        <f>P274+P275+P276+P277+P278+P279</f>
        <v>10964720</v>
      </c>
      <c r="Q273" s="26">
        <f t="shared" si="46"/>
        <v>159181456</v>
      </c>
    </row>
    <row r="274" spans="1:17" ht="12.75">
      <c r="A274" s="50" t="s">
        <v>242</v>
      </c>
      <c r="B274" s="28">
        <v>110102</v>
      </c>
      <c r="C274" s="50" t="s">
        <v>1079</v>
      </c>
      <c r="D274" s="50" t="s">
        <v>601</v>
      </c>
      <c r="E274" s="48" t="s">
        <v>49</v>
      </c>
      <c r="F274" s="26">
        <f t="shared" si="44"/>
        <v>7923779</v>
      </c>
      <c r="G274" s="27">
        <v>7923779</v>
      </c>
      <c r="H274" s="27"/>
      <c r="I274" s="27"/>
      <c r="J274" s="27"/>
      <c r="K274" s="26">
        <f t="shared" si="45"/>
        <v>808480</v>
      </c>
      <c r="L274" s="27"/>
      <c r="M274" s="27"/>
      <c r="N274" s="27"/>
      <c r="O274" s="27">
        <f>P274</f>
        <v>808480</v>
      </c>
      <c r="P274" s="27">
        <v>808480</v>
      </c>
      <c r="Q274" s="26">
        <f t="shared" si="46"/>
        <v>8732259</v>
      </c>
    </row>
    <row r="275" spans="1:17" ht="12.75">
      <c r="A275" s="50" t="s">
        <v>243</v>
      </c>
      <c r="B275" s="28">
        <v>110201</v>
      </c>
      <c r="C275" s="50" t="s">
        <v>1080</v>
      </c>
      <c r="D275" s="50" t="s">
        <v>602</v>
      </c>
      <c r="E275" s="48" t="s">
        <v>50</v>
      </c>
      <c r="F275" s="26">
        <f t="shared" si="44"/>
        <v>23491674</v>
      </c>
      <c r="G275" s="27">
        <f>23400177+(10000)+(25000)+(12000)+(17000)+(8000)+(5000)+(5500)+(15000)-11003+(5000)</f>
        <v>23491674</v>
      </c>
      <c r="H275" s="27">
        <v>15886809</v>
      </c>
      <c r="I275" s="27">
        <f>1702769-11003</f>
        <v>1691766</v>
      </c>
      <c r="J275" s="27"/>
      <c r="K275" s="26">
        <f t="shared" si="45"/>
        <v>1379933</v>
      </c>
      <c r="L275" s="27">
        <v>6500</v>
      </c>
      <c r="M275" s="27"/>
      <c r="N275" s="27">
        <v>3497</v>
      </c>
      <c r="O275" s="27">
        <f>P275</f>
        <v>1373433</v>
      </c>
      <c r="P275" s="27">
        <f>985409+(25000)+(13000)+(13000)+242524+(30500)+(11000)+(20000)+(10000)+(13000)+(10000)</f>
        <v>1373433</v>
      </c>
      <c r="Q275" s="26">
        <f t="shared" si="46"/>
        <v>24871607</v>
      </c>
    </row>
    <row r="276" spans="1:17" ht="26.25" customHeight="1">
      <c r="A276" s="50" t="s">
        <v>244</v>
      </c>
      <c r="B276" s="28">
        <v>110204</v>
      </c>
      <c r="C276" s="50" t="s">
        <v>1081</v>
      </c>
      <c r="D276" s="50" t="s">
        <v>603</v>
      </c>
      <c r="E276" s="48" t="s">
        <v>92</v>
      </c>
      <c r="F276" s="26">
        <f t="shared" si="44"/>
        <v>18106563</v>
      </c>
      <c r="G276" s="27">
        <f>15702225+(500000)-(472900)+(15280)+2358600-50000+(53358)</f>
        <v>18106563</v>
      </c>
      <c r="H276" s="27">
        <f>9539335+1577224</f>
        <v>11116559</v>
      </c>
      <c r="I276" s="27">
        <f>3071130+513883-50000</f>
        <v>3535013</v>
      </c>
      <c r="J276" s="27"/>
      <c r="K276" s="26">
        <f t="shared" si="45"/>
        <v>6823791</v>
      </c>
      <c r="L276" s="27">
        <v>1948897</v>
      </c>
      <c r="M276" s="27">
        <v>812596</v>
      </c>
      <c r="N276" s="27">
        <v>293670</v>
      </c>
      <c r="O276" s="27">
        <f>P276</f>
        <v>4874894</v>
      </c>
      <c r="P276" s="27">
        <f>4657870+(500000)+(25000)+50000-357976</f>
        <v>4874894</v>
      </c>
      <c r="Q276" s="26">
        <f t="shared" si="46"/>
        <v>24930354</v>
      </c>
    </row>
    <row r="277" spans="1:18" ht="12.75">
      <c r="A277" s="50" t="s">
        <v>325</v>
      </c>
      <c r="B277" s="28">
        <v>110205</v>
      </c>
      <c r="C277" s="50" t="s">
        <v>1082</v>
      </c>
      <c r="D277" s="50" t="s">
        <v>581</v>
      </c>
      <c r="E277" s="48" t="s">
        <v>51</v>
      </c>
      <c r="F277" s="26">
        <f t="shared" si="44"/>
        <v>82460956</v>
      </c>
      <c r="G277" s="27">
        <f>76359453+134435+(13000)+(15000)+5943574+(5700)-10206</f>
        <v>82460956</v>
      </c>
      <c r="H277" s="27">
        <f>60161747+4872674-5120</f>
        <v>65029301</v>
      </c>
      <c r="I277" s="27">
        <f>1958091-10206</f>
        <v>1947885</v>
      </c>
      <c r="J277" s="27"/>
      <c r="K277" s="26">
        <f t="shared" si="45"/>
        <v>9077913</v>
      </c>
      <c r="L277" s="27">
        <v>5170000</v>
      </c>
      <c r="M277" s="27">
        <v>2812135</v>
      </c>
      <c r="N277" s="27">
        <v>570718</v>
      </c>
      <c r="O277" s="27">
        <f>P277</f>
        <v>3907913</v>
      </c>
      <c r="P277" s="27">
        <f>4059872+65565-242524+(10000)+(8000)-(1000)+(8000)</f>
        <v>3907913</v>
      </c>
      <c r="Q277" s="26">
        <f t="shared" si="46"/>
        <v>91538869</v>
      </c>
      <c r="R277"/>
    </row>
    <row r="278" spans="1:17" ht="12.75">
      <c r="A278" s="50" t="s">
        <v>245</v>
      </c>
      <c r="B278" s="28" t="s">
        <v>105</v>
      </c>
      <c r="C278" s="50" t="s">
        <v>1083</v>
      </c>
      <c r="D278" s="50" t="s">
        <v>604</v>
      </c>
      <c r="E278" s="25" t="s">
        <v>106</v>
      </c>
      <c r="F278" s="26">
        <f t="shared" si="44"/>
        <v>2797813</v>
      </c>
      <c r="G278" s="27">
        <f>2726604+71209</f>
        <v>2797813</v>
      </c>
      <c r="H278" s="27"/>
      <c r="I278" s="27"/>
      <c r="J278" s="27"/>
      <c r="K278" s="26">
        <f t="shared" si="45"/>
        <v>0</v>
      </c>
      <c r="L278" s="27"/>
      <c r="M278" s="27"/>
      <c r="N278" s="27"/>
      <c r="O278" s="27"/>
      <c r="P278" s="27"/>
      <c r="Q278" s="26">
        <f t="shared" si="46"/>
        <v>2797813</v>
      </c>
    </row>
    <row r="279" spans="1:17" ht="25.5">
      <c r="A279" s="85" t="s">
        <v>543</v>
      </c>
      <c r="B279" s="85" t="s">
        <v>246</v>
      </c>
      <c r="C279" s="85" t="s">
        <v>1084</v>
      </c>
      <c r="D279" s="85" t="s">
        <v>605</v>
      </c>
      <c r="E279" s="87" t="s">
        <v>415</v>
      </c>
      <c r="F279" s="26">
        <f t="shared" si="44"/>
        <v>6295914</v>
      </c>
      <c r="G279" s="88">
        <f>G280+G281+G282+G283+G284</f>
        <v>6295914</v>
      </c>
      <c r="H279" s="88">
        <f>H280+H281+H282+H283+H284</f>
        <v>3034748</v>
      </c>
      <c r="I279" s="88">
        <f>I280+I281+I282+I283+I284</f>
        <v>202506</v>
      </c>
      <c r="J279" s="88">
        <f>J280+J281+J282+J283+J284</f>
        <v>0</v>
      </c>
      <c r="K279" s="26">
        <f t="shared" si="45"/>
        <v>14640</v>
      </c>
      <c r="L279" s="88">
        <f>L280+L281+L282+L283+L284</f>
        <v>14640</v>
      </c>
      <c r="M279" s="88">
        <f>M280+M281+M282+M283+M284</f>
        <v>10662</v>
      </c>
      <c r="N279" s="88">
        <f>N280+N281+N282+N283+N284</f>
        <v>510</v>
      </c>
      <c r="O279" s="88">
        <f>O280+O281+O282+O283+O284</f>
        <v>0</v>
      </c>
      <c r="P279" s="88">
        <f>P280+P281+P282+P283+P284</f>
        <v>0</v>
      </c>
      <c r="Q279" s="26">
        <f t="shared" si="46"/>
        <v>6310554</v>
      </c>
    </row>
    <row r="280" spans="1:17" s="169" customFormat="1" ht="25.5" hidden="1">
      <c r="A280" s="170" t="s">
        <v>544</v>
      </c>
      <c r="B280" s="171">
        <v>110502</v>
      </c>
      <c r="C280" s="170" t="s">
        <v>1085</v>
      </c>
      <c r="D280" s="170" t="s">
        <v>605</v>
      </c>
      <c r="E280" s="175" t="s">
        <v>247</v>
      </c>
      <c r="F280" s="173">
        <f t="shared" si="44"/>
        <v>1977770</v>
      </c>
      <c r="G280" s="173">
        <f>2009635-31865</f>
        <v>1977770</v>
      </c>
      <c r="H280" s="176">
        <v>1471597</v>
      </c>
      <c r="I280" s="176">
        <v>49760</v>
      </c>
      <c r="J280" s="176"/>
      <c r="K280" s="173">
        <f t="shared" si="45"/>
        <v>0</v>
      </c>
      <c r="L280" s="177"/>
      <c r="M280" s="177"/>
      <c r="N280" s="177"/>
      <c r="O280" s="176"/>
      <c r="P280" s="173"/>
      <c r="Q280" s="173">
        <f t="shared" si="46"/>
        <v>1977770</v>
      </c>
    </row>
    <row r="281" spans="1:17" s="169" customFormat="1" ht="12.75" hidden="1">
      <c r="A281" s="170" t="s">
        <v>545</v>
      </c>
      <c r="B281" s="170" t="s">
        <v>246</v>
      </c>
      <c r="C281" s="170" t="s">
        <v>1086</v>
      </c>
      <c r="D281" s="170" t="s">
        <v>605</v>
      </c>
      <c r="E281" s="178" t="s">
        <v>498</v>
      </c>
      <c r="F281" s="173">
        <f t="shared" si="44"/>
        <v>430392</v>
      </c>
      <c r="G281" s="176">
        <v>430392</v>
      </c>
      <c r="H281" s="176">
        <v>346733</v>
      </c>
      <c r="I281" s="176"/>
      <c r="J281" s="176"/>
      <c r="K281" s="173">
        <f t="shared" si="45"/>
        <v>0</v>
      </c>
      <c r="L281" s="176"/>
      <c r="M281" s="173"/>
      <c r="N281" s="173"/>
      <c r="O281" s="176"/>
      <c r="P281" s="173"/>
      <c r="Q281" s="173">
        <f t="shared" si="46"/>
        <v>430392</v>
      </c>
    </row>
    <row r="282" spans="1:17" s="169" customFormat="1" ht="12.75" hidden="1">
      <c r="A282" s="170" t="s">
        <v>546</v>
      </c>
      <c r="B282" s="170" t="s">
        <v>246</v>
      </c>
      <c r="C282" s="170" t="s">
        <v>1087</v>
      </c>
      <c r="D282" s="170" t="s">
        <v>605</v>
      </c>
      <c r="E282" s="175" t="s">
        <v>248</v>
      </c>
      <c r="F282" s="173">
        <f t="shared" si="44"/>
        <v>816950</v>
      </c>
      <c r="G282" s="176">
        <f>887659-70709</f>
        <v>816950</v>
      </c>
      <c r="H282" s="176">
        <v>73000</v>
      </c>
      <c r="I282" s="176"/>
      <c r="J282" s="176"/>
      <c r="K282" s="173">
        <f t="shared" si="45"/>
        <v>0</v>
      </c>
      <c r="L282" s="176"/>
      <c r="M282" s="173"/>
      <c r="N282" s="173"/>
      <c r="O282" s="173"/>
      <c r="P282" s="173"/>
      <c r="Q282" s="173">
        <f t="shared" si="46"/>
        <v>816950</v>
      </c>
    </row>
    <row r="283" spans="1:17" s="169" customFormat="1" ht="38.25" hidden="1">
      <c r="A283" s="170" t="s">
        <v>547</v>
      </c>
      <c r="B283" s="170" t="s">
        <v>246</v>
      </c>
      <c r="C283" s="170" t="s">
        <v>1088</v>
      </c>
      <c r="D283" s="170" t="s">
        <v>605</v>
      </c>
      <c r="E283" s="175" t="s">
        <v>249</v>
      </c>
      <c r="F283" s="173">
        <f t="shared" si="44"/>
        <v>3070802</v>
      </c>
      <c r="G283" s="176">
        <f>2546281+524521</f>
        <v>3070802</v>
      </c>
      <c r="H283" s="176">
        <f>864122+279296</f>
        <v>1143418</v>
      </c>
      <c r="I283" s="176">
        <f>52341+181780-81375</f>
        <v>152746</v>
      </c>
      <c r="J283" s="176"/>
      <c r="K283" s="173">
        <f t="shared" si="45"/>
        <v>14640</v>
      </c>
      <c r="L283" s="176">
        <v>14640</v>
      </c>
      <c r="M283" s="173">
        <v>10662</v>
      </c>
      <c r="N283" s="173">
        <v>510</v>
      </c>
      <c r="O283" s="173"/>
      <c r="P283" s="173"/>
      <c r="Q283" s="173">
        <f t="shared" si="46"/>
        <v>3085442</v>
      </c>
    </row>
    <row r="284" spans="1:17" s="169" customFormat="1" ht="25.5" hidden="1">
      <c r="A284" s="170" t="s">
        <v>548</v>
      </c>
      <c r="B284" s="170" t="s">
        <v>246</v>
      </c>
      <c r="C284" s="170" t="s">
        <v>1089</v>
      </c>
      <c r="D284" s="170" t="s">
        <v>605</v>
      </c>
      <c r="E284" s="175" t="s">
        <v>250</v>
      </c>
      <c r="F284" s="173">
        <f t="shared" si="44"/>
        <v>0</v>
      </c>
      <c r="G284" s="176"/>
      <c r="H284" s="176"/>
      <c r="I284" s="176"/>
      <c r="J284" s="176"/>
      <c r="K284" s="173">
        <f t="shared" si="45"/>
        <v>0</v>
      </c>
      <c r="L284" s="176"/>
      <c r="M284" s="173"/>
      <c r="N284" s="173"/>
      <c r="O284" s="173"/>
      <c r="P284" s="173"/>
      <c r="Q284" s="173">
        <f t="shared" si="46"/>
        <v>0</v>
      </c>
    </row>
    <row r="285" spans="1:17" ht="12.75">
      <c r="A285" s="112" t="s">
        <v>660</v>
      </c>
      <c r="B285" s="112" t="s">
        <v>628</v>
      </c>
      <c r="C285" s="112" t="s">
        <v>1020</v>
      </c>
      <c r="D285" s="112"/>
      <c r="E285" s="115" t="s">
        <v>630</v>
      </c>
      <c r="F285" s="26">
        <f>G285+J285</f>
        <v>0</v>
      </c>
      <c r="G285" s="114">
        <f>G286</f>
        <v>0</v>
      </c>
      <c r="H285" s="114">
        <f>H286</f>
        <v>0</v>
      </c>
      <c r="I285" s="114">
        <f>I286</f>
        <v>0</v>
      </c>
      <c r="J285" s="114">
        <f>J286</f>
        <v>0</v>
      </c>
      <c r="K285" s="26">
        <f>L285+O285</f>
        <v>1475550</v>
      </c>
      <c r="L285" s="114">
        <f>L286</f>
        <v>0</v>
      </c>
      <c r="M285" s="114">
        <f>M286</f>
        <v>0</v>
      </c>
      <c r="N285" s="114">
        <f>N286</f>
        <v>0</v>
      </c>
      <c r="O285" s="114">
        <f>O286</f>
        <v>1475550</v>
      </c>
      <c r="P285" s="114">
        <f>P286</f>
        <v>1475550</v>
      </c>
      <c r="Q285" s="26">
        <f>F285+K285</f>
        <v>1475550</v>
      </c>
    </row>
    <row r="286" spans="1:17" s="41" customFormat="1" ht="27.75" customHeight="1">
      <c r="A286" s="50" t="s">
        <v>251</v>
      </c>
      <c r="B286" s="28" t="s">
        <v>87</v>
      </c>
      <c r="C286" s="50" t="s">
        <v>980</v>
      </c>
      <c r="D286" s="50" t="s">
        <v>576</v>
      </c>
      <c r="E286" s="48" t="s">
        <v>174</v>
      </c>
      <c r="F286" s="27"/>
      <c r="G286" s="27"/>
      <c r="H286" s="27"/>
      <c r="I286" s="27"/>
      <c r="J286" s="27"/>
      <c r="K286" s="26">
        <f>L286+O286</f>
        <v>1475550</v>
      </c>
      <c r="L286" s="27"/>
      <c r="M286" s="27"/>
      <c r="N286" s="27"/>
      <c r="O286" s="27">
        <f>P286</f>
        <v>1475550</v>
      </c>
      <c r="P286" s="27">
        <v>1475550</v>
      </c>
      <c r="Q286" s="26">
        <f>F286+K286</f>
        <v>1475550</v>
      </c>
    </row>
    <row r="287" spans="1:17" s="41" customFormat="1" ht="25.5">
      <c r="A287" s="93" t="s">
        <v>968</v>
      </c>
      <c r="B287" s="93" t="s">
        <v>501</v>
      </c>
      <c r="C287" s="93" t="s">
        <v>1090</v>
      </c>
      <c r="D287" s="93" t="s">
        <v>585</v>
      </c>
      <c r="E287" s="100" t="s">
        <v>503</v>
      </c>
      <c r="F287" s="26">
        <f t="shared" si="44"/>
        <v>1050890</v>
      </c>
      <c r="G287" s="88">
        <f>G288</f>
        <v>1050890</v>
      </c>
      <c r="H287" s="88">
        <f>H288</f>
        <v>59900</v>
      </c>
      <c r="I287" s="88">
        <f>I288</f>
        <v>0</v>
      </c>
      <c r="J287" s="88">
        <f>J288</f>
        <v>0</v>
      </c>
      <c r="K287" s="26">
        <f t="shared" si="45"/>
        <v>0</v>
      </c>
      <c r="L287" s="88">
        <f>L288</f>
        <v>0</v>
      </c>
      <c r="M287" s="88">
        <f>M288</f>
        <v>0</v>
      </c>
      <c r="N287" s="88">
        <f>N288</f>
        <v>0</v>
      </c>
      <c r="O287" s="88">
        <f>O288</f>
        <v>0</v>
      </c>
      <c r="P287" s="88">
        <f>P288</f>
        <v>0</v>
      </c>
      <c r="Q287" s="26">
        <f t="shared" si="46"/>
        <v>1050890</v>
      </c>
    </row>
    <row r="288" spans="1:17" s="169" customFormat="1" ht="12.75" hidden="1">
      <c r="A288" s="170" t="s">
        <v>969</v>
      </c>
      <c r="B288" s="170" t="s">
        <v>501</v>
      </c>
      <c r="C288" s="170" t="s">
        <v>1010</v>
      </c>
      <c r="D288" s="170" t="s">
        <v>585</v>
      </c>
      <c r="E288" s="178" t="s">
        <v>505</v>
      </c>
      <c r="F288" s="173">
        <f t="shared" si="44"/>
        <v>1050890</v>
      </c>
      <c r="G288" s="173">
        <f>622205+70709+357976</f>
        <v>1050890</v>
      </c>
      <c r="H288" s="173">
        <f>5000+54900</f>
        <v>59900</v>
      </c>
      <c r="I288" s="173"/>
      <c r="J288" s="173"/>
      <c r="K288" s="173">
        <f t="shared" si="45"/>
        <v>0</v>
      </c>
      <c r="L288" s="173"/>
      <c r="M288" s="173"/>
      <c r="N288" s="173"/>
      <c r="O288" s="173"/>
      <c r="P288" s="173"/>
      <c r="Q288" s="173">
        <f t="shared" si="46"/>
        <v>1050890</v>
      </c>
    </row>
    <row r="289" spans="1:17" ht="12.75">
      <c r="A289" s="111" t="s">
        <v>1214</v>
      </c>
      <c r="B289" s="112" t="s">
        <v>98</v>
      </c>
      <c r="C289" s="112" t="s">
        <v>1015</v>
      </c>
      <c r="D289" s="112"/>
      <c r="E289" s="115" t="s">
        <v>99</v>
      </c>
      <c r="F289" s="26">
        <f>G289+J289</f>
        <v>0</v>
      </c>
      <c r="G289" s="114">
        <f>G290</f>
        <v>0</v>
      </c>
      <c r="H289" s="114"/>
      <c r="I289" s="114"/>
      <c r="J289" s="114"/>
      <c r="K289" s="114">
        <f>L289+O289</f>
        <v>1000000</v>
      </c>
      <c r="L289" s="114">
        <f>L290</f>
        <v>0</v>
      </c>
      <c r="M289" s="114"/>
      <c r="N289" s="114"/>
      <c r="O289" s="114">
        <f>O290</f>
        <v>1000000</v>
      </c>
      <c r="P289" s="114">
        <f>P290</f>
        <v>0</v>
      </c>
      <c r="Q289" s="114">
        <f>F289+K289</f>
        <v>1000000</v>
      </c>
    </row>
    <row r="290" spans="1:17" ht="78" customHeight="1">
      <c r="A290" s="93" t="s">
        <v>1215</v>
      </c>
      <c r="B290" s="85" t="s">
        <v>53</v>
      </c>
      <c r="C290" s="85" t="s">
        <v>992</v>
      </c>
      <c r="D290" s="85" t="s">
        <v>577</v>
      </c>
      <c r="E290" s="87" t="s">
        <v>431</v>
      </c>
      <c r="F290" s="26">
        <f>G290</f>
        <v>0</v>
      </c>
      <c r="G290" s="88"/>
      <c r="H290" s="88"/>
      <c r="I290" s="88"/>
      <c r="J290" s="88"/>
      <c r="K290" s="88">
        <f>L290+O290</f>
        <v>1000000</v>
      </c>
      <c r="L290" s="88"/>
      <c r="M290" s="88"/>
      <c r="N290" s="88"/>
      <c r="O290" s="88">
        <v>1000000</v>
      </c>
      <c r="P290" s="88"/>
      <c r="Q290" s="88">
        <f>F290+K290</f>
        <v>1000000</v>
      </c>
    </row>
    <row r="291" spans="1:17" s="41" customFormat="1" ht="25.5" hidden="1">
      <c r="A291" s="62" t="s">
        <v>487</v>
      </c>
      <c r="B291" s="62" t="s">
        <v>484</v>
      </c>
      <c r="C291" s="62" t="s">
        <v>484</v>
      </c>
      <c r="D291" s="62"/>
      <c r="E291" s="64" t="s">
        <v>485</v>
      </c>
      <c r="F291" s="39"/>
      <c r="G291" s="39"/>
      <c r="H291" s="39"/>
      <c r="I291" s="39"/>
      <c r="J291" s="39"/>
      <c r="K291" s="39"/>
      <c r="L291" s="39"/>
      <c r="M291" s="39"/>
      <c r="N291" s="39"/>
      <c r="O291" s="39"/>
      <c r="P291" s="39"/>
      <c r="Q291" s="39"/>
    </row>
    <row r="292" spans="1:17" s="41" customFormat="1" ht="25.5" hidden="1">
      <c r="A292" s="50" t="s">
        <v>7</v>
      </c>
      <c r="B292" s="50" t="s">
        <v>33</v>
      </c>
      <c r="C292" s="50"/>
      <c r="D292" s="50"/>
      <c r="E292" s="48" t="s">
        <v>486</v>
      </c>
      <c r="F292" s="27"/>
      <c r="G292" s="27"/>
      <c r="H292" s="27"/>
      <c r="I292" s="27"/>
      <c r="J292" s="27"/>
      <c r="K292" s="27"/>
      <c r="L292" s="27"/>
      <c r="M292" s="27"/>
      <c r="N292" s="27"/>
      <c r="O292" s="27"/>
      <c r="P292" s="27"/>
      <c r="Q292" s="42"/>
    </row>
    <row r="293" spans="1:18" s="2" customFormat="1" ht="25.5">
      <c r="A293" s="11" t="s">
        <v>1154</v>
      </c>
      <c r="B293" s="11" t="s">
        <v>1153</v>
      </c>
      <c r="C293" s="11" t="s">
        <v>1153</v>
      </c>
      <c r="D293" s="11"/>
      <c r="E293" s="13" t="s">
        <v>1158</v>
      </c>
      <c r="F293" s="21">
        <f aca="true" t="shared" si="47" ref="F293:F298">G293+J293</f>
        <v>1951445</v>
      </c>
      <c r="G293" s="21">
        <f>G294</f>
        <v>1951445</v>
      </c>
      <c r="H293" s="21">
        <f aca="true" t="shared" si="48" ref="H293:J295">H294</f>
        <v>1264613</v>
      </c>
      <c r="I293" s="21">
        <f t="shared" si="48"/>
        <v>72618</v>
      </c>
      <c r="J293" s="21">
        <f t="shared" si="48"/>
        <v>0</v>
      </c>
      <c r="K293" s="21">
        <f aca="true" t="shared" si="49" ref="K293:K298">L293+O293</f>
        <v>143660</v>
      </c>
      <c r="L293" s="21">
        <f aca="true" t="shared" si="50" ref="L293:P295">L294</f>
        <v>0</v>
      </c>
      <c r="M293" s="21">
        <f t="shared" si="50"/>
        <v>0</v>
      </c>
      <c r="N293" s="21">
        <f t="shared" si="50"/>
        <v>0</v>
      </c>
      <c r="O293" s="21">
        <f t="shared" si="50"/>
        <v>143660</v>
      </c>
      <c r="P293" s="21">
        <f t="shared" si="50"/>
        <v>143660</v>
      </c>
      <c r="Q293" s="40">
        <f aca="true" t="shared" si="51" ref="Q293:Q298">F293+K293</f>
        <v>2095105</v>
      </c>
      <c r="R293" s="191"/>
    </row>
    <row r="294" spans="1:17" s="2" customFormat="1" ht="24" customHeight="1">
      <c r="A294" s="7" t="s">
        <v>1155</v>
      </c>
      <c r="B294" s="7"/>
      <c r="C294" s="7"/>
      <c r="D294" s="7"/>
      <c r="E294" s="124" t="s">
        <v>1158</v>
      </c>
      <c r="F294" s="18">
        <f t="shared" si="47"/>
        <v>1951445</v>
      </c>
      <c r="G294" s="18">
        <f>G295</f>
        <v>1951445</v>
      </c>
      <c r="H294" s="18">
        <f t="shared" si="48"/>
        <v>1264613</v>
      </c>
      <c r="I294" s="18">
        <f t="shared" si="48"/>
        <v>72618</v>
      </c>
      <c r="J294" s="18">
        <f t="shared" si="48"/>
        <v>0</v>
      </c>
      <c r="K294" s="18">
        <f t="shared" si="49"/>
        <v>143660</v>
      </c>
      <c r="L294" s="18">
        <f t="shared" si="50"/>
        <v>0</v>
      </c>
      <c r="M294" s="18">
        <f t="shared" si="50"/>
        <v>0</v>
      </c>
      <c r="N294" s="18">
        <f t="shared" si="50"/>
        <v>0</v>
      </c>
      <c r="O294" s="18">
        <f t="shared" si="50"/>
        <v>143660</v>
      </c>
      <c r="P294" s="18">
        <f t="shared" si="50"/>
        <v>143660</v>
      </c>
      <c r="Q294" s="18">
        <f t="shared" si="51"/>
        <v>2095105</v>
      </c>
    </row>
    <row r="295" spans="1:17" s="2" customFormat="1" ht="12.75">
      <c r="A295" s="117" t="s">
        <v>1156</v>
      </c>
      <c r="B295" s="116" t="s">
        <v>671</v>
      </c>
      <c r="C295" s="116" t="s">
        <v>972</v>
      </c>
      <c r="D295" s="116"/>
      <c r="E295" s="124" t="s">
        <v>673</v>
      </c>
      <c r="F295" s="18">
        <f t="shared" si="47"/>
        <v>1951445</v>
      </c>
      <c r="G295" s="121">
        <f>G296</f>
        <v>1951445</v>
      </c>
      <c r="H295" s="121">
        <f t="shared" si="48"/>
        <v>1264613</v>
      </c>
      <c r="I295" s="121">
        <f t="shared" si="48"/>
        <v>72618</v>
      </c>
      <c r="J295" s="121">
        <f t="shared" si="48"/>
        <v>0</v>
      </c>
      <c r="K295" s="18">
        <f t="shared" si="49"/>
        <v>143660</v>
      </c>
      <c r="L295" s="121">
        <f t="shared" si="50"/>
        <v>0</v>
      </c>
      <c r="M295" s="121">
        <f t="shared" si="50"/>
        <v>0</v>
      </c>
      <c r="N295" s="121">
        <f t="shared" si="50"/>
        <v>0</v>
      </c>
      <c r="O295" s="121">
        <f t="shared" si="50"/>
        <v>143660</v>
      </c>
      <c r="P295" s="121">
        <f t="shared" si="50"/>
        <v>143660</v>
      </c>
      <c r="Q295" s="18">
        <f t="shared" si="51"/>
        <v>2095105</v>
      </c>
    </row>
    <row r="296" spans="1:17" s="2" customFormat="1" ht="25.5">
      <c r="A296" s="6" t="s">
        <v>1157</v>
      </c>
      <c r="B296" s="6" t="s">
        <v>33</v>
      </c>
      <c r="C296" s="6" t="s">
        <v>613</v>
      </c>
      <c r="D296" s="6" t="s">
        <v>574</v>
      </c>
      <c r="E296" s="51" t="s">
        <v>1159</v>
      </c>
      <c r="F296" s="18">
        <f t="shared" si="47"/>
        <v>1951445</v>
      </c>
      <c r="G296" s="18">
        <f>1358250+218462+370298+4435</f>
        <v>1951445</v>
      </c>
      <c r="H296" s="18">
        <f>943005+16620+301353+3635</f>
        <v>1264613</v>
      </c>
      <c r="I296" s="18">
        <v>72618</v>
      </c>
      <c r="J296" s="18"/>
      <c r="K296" s="18">
        <f t="shared" si="49"/>
        <v>143660</v>
      </c>
      <c r="L296" s="18"/>
      <c r="M296" s="18"/>
      <c r="N296" s="18"/>
      <c r="O296" s="18">
        <f>P296</f>
        <v>143660</v>
      </c>
      <c r="P296" s="18">
        <v>143660</v>
      </c>
      <c r="Q296" s="18">
        <f t="shared" si="51"/>
        <v>2095105</v>
      </c>
    </row>
    <row r="297" spans="1:18" ht="51">
      <c r="A297" s="62" t="s">
        <v>252</v>
      </c>
      <c r="B297" s="62" t="s">
        <v>160</v>
      </c>
      <c r="C297" s="62" t="s">
        <v>160</v>
      </c>
      <c r="D297" s="62"/>
      <c r="E297" s="61" t="s">
        <v>811</v>
      </c>
      <c r="F297" s="39">
        <f t="shared" si="47"/>
        <v>16245304</v>
      </c>
      <c r="G297" s="39">
        <f>G298</f>
        <v>16245304</v>
      </c>
      <c r="H297" s="39">
        <f>H298</f>
        <v>7814657</v>
      </c>
      <c r="I297" s="39">
        <f>I298</f>
        <v>969504</v>
      </c>
      <c r="J297" s="39">
        <f>J298</f>
        <v>0</v>
      </c>
      <c r="K297" s="39">
        <f t="shared" si="49"/>
        <v>4428389</v>
      </c>
      <c r="L297" s="39">
        <f>L298</f>
        <v>0</v>
      </c>
      <c r="M297" s="39">
        <f>M298</f>
        <v>0</v>
      </c>
      <c r="N297" s="39">
        <f>N298</f>
        <v>0</v>
      </c>
      <c r="O297" s="39">
        <f>O298</f>
        <v>4428389</v>
      </c>
      <c r="P297" s="39">
        <f>P298</f>
        <v>4428389</v>
      </c>
      <c r="Q297" s="40">
        <f t="shared" si="51"/>
        <v>20673693</v>
      </c>
      <c r="R297" s="164"/>
    </row>
    <row r="298" spans="1:17" ht="51">
      <c r="A298" s="59" t="s">
        <v>253</v>
      </c>
      <c r="B298" s="31"/>
      <c r="C298" s="31"/>
      <c r="D298" s="31"/>
      <c r="E298" s="51" t="s">
        <v>811</v>
      </c>
      <c r="F298" s="26">
        <f t="shared" si="47"/>
        <v>16245304</v>
      </c>
      <c r="G298" s="26">
        <f>G299+G301+G303+G305</f>
        <v>16245304</v>
      </c>
      <c r="H298" s="26">
        <f>H299+H301+H303+H305</f>
        <v>7814657</v>
      </c>
      <c r="I298" s="26">
        <f>I299+I301+I303+I305</f>
        <v>969504</v>
      </c>
      <c r="J298" s="26">
        <f>J299+J301+J303+J305</f>
        <v>0</v>
      </c>
      <c r="K298" s="26">
        <f t="shared" si="49"/>
        <v>4428389</v>
      </c>
      <c r="L298" s="26">
        <f>L299+L301+L303+L305</f>
        <v>0</v>
      </c>
      <c r="M298" s="26">
        <f>M299+M301+M303+M305</f>
        <v>0</v>
      </c>
      <c r="N298" s="26">
        <f>N299+N301+N303+N305</f>
        <v>0</v>
      </c>
      <c r="O298" s="26">
        <f>O299+O301+O303+O305</f>
        <v>4428389</v>
      </c>
      <c r="P298" s="26">
        <f>P299+P301+P303+P305</f>
        <v>4428389</v>
      </c>
      <c r="Q298" s="26">
        <f t="shared" si="51"/>
        <v>20673693</v>
      </c>
    </row>
    <row r="299" spans="1:17" ht="12.75">
      <c r="A299" s="112" t="s">
        <v>683</v>
      </c>
      <c r="B299" s="111" t="s">
        <v>671</v>
      </c>
      <c r="C299" s="111" t="s">
        <v>972</v>
      </c>
      <c r="D299" s="111"/>
      <c r="E299" s="127" t="s">
        <v>673</v>
      </c>
      <c r="F299" s="26">
        <f aca="true" t="shared" si="52" ref="F299:F308">G299+J299</f>
        <v>12650039</v>
      </c>
      <c r="G299" s="123">
        <f>G300</f>
        <v>12650039</v>
      </c>
      <c r="H299" s="123">
        <f>H300</f>
        <v>7814657</v>
      </c>
      <c r="I299" s="123">
        <f>I300</f>
        <v>969504</v>
      </c>
      <c r="J299" s="123">
        <f>J300</f>
        <v>0</v>
      </c>
      <c r="K299" s="26">
        <f aca="true" t="shared" si="53" ref="K299:K308">L299+O299</f>
        <v>278910</v>
      </c>
      <c r="L299" s="123">
        <f>L300</f>
        <v>0</v>
      </c>
      <c r="M299" s="123">
        <f>M300</f>
        <v>0</v>
      </c>
      <c r="N299" s="123">
        <f>N300</f>
        <v>0</v>
      </c>
      <c r="O299" s="123">
        <f>O300</f>
        <v>278910</v>
      </c>
      <c r="P299" s="123">
        <f>P300</f>
        <v>278910</v>
      </c>
      <c r="Q299" s="26">
        <f aca="true" t="shared" si="54" ref="Q299:Q308">F299+K299</f>
        <v>12928949</v>
      </c>
    </row>
    <row r="300" spans="1:17" ht="51">
      <c r="A300" s="50" t="s">
        <v>8</v>
      </c>
      <c r="B300" s="28" t="s">
        <v>33</v>
      </c>
      <c r="C300" s="50" t="s">
        <v>613</v>
      </c>
      <c r="D300" s="50" t="s">
        <v>574</v>
      </c>
      <c r="E300" s="51" t="s">
        <v>963</v>
      </c>
      <c r="F300" s="26">
        <f t="shared" si="52"/>
        <v>12650039</v>
      </c>
      <c r="G300" s="27">
        <f>10294963+25000+762399+1542372+25305</f>
        <v>12650039</v>
      </c>
      <c r="H300" s="27">
        <f>6525408+1268482+20767</f>
        <v>7814657</v>
      </c>
      <c r="I300" s="27">
        <v>969504</v>
      </c>
      <c r="J300" s="27"/>
      <c r="K300" s="26">
        <f t="shared" si="53"/>
        <v>278910</v>
      </c>
      <c r="L300" s="27"/>
      <c r="M300" s="27"/>
      <c r="N300" s="27"/>
      <c r="O300" s="27">
        <f>P300</f>
        <v>278910</v>
      </c>
      <c r="P300" s="27">
        <f>1911496-1632586</f>
        <v>278910</v>
      </c>
      <c r="Q300" s="26">
        <f t="shared" si="54"/>
        <v>12928949</v>
      </c>
    </row>
    <row r="301" spans="1:17" ht="12.75">
      <c r="A301" s="112" t="s">
        <v>661</v>
      </c>
      <c r="B301" s="112" t="s">
        <v>628</v>
      </c>
      <c r="C301" s="112" t="s">
        <v>1020</v>
      </c>
      <c r="D301" s="112"/>
      <c r="E301" s="113" t="s">
        <v>630</v>
      </c>
      <c r="F301" s="26">
        <f t="shared" si="52"/>
        <v>0</v>
      </c>
      <c r="G301" s="114">
        <f>G302</f>
        <v>0</v>
      </c>
      <c r="H301" s="114">
        <f>H302</f>
        <v>0</v>
      </c>
      <c r="I301" s="114">
        <f>I302</f>
        <v>0</v>
      </c>
      <c r="J301" s="114">
        <f>J302</f>
        <v>0</v>
      </c>
      <c r="K301" s="26">
        <f t="shared" si="53"/>
        <v>4149479</v>
      </c>
      <c r="L301" s="114">
        <f>L302</f>
        <v>0</v>
      </c>
      <c r="M301" s="114">
        <f>M302</f>
        <v>0</v>
      </c>
      <c r="N301" s="114">
        <f>N302</f>
        <v>0</v>
      </c>
      <c r="O301" s="114">
        <f>O302</f>
        <v>4149479</v>
      </c>
      <c r="P301" s="114">
        <f>P302</f>
        <v>4149479</v>
      </c>
      <c r="Q301" s="26">
        <f t="shared" si="54"/>
        <v>4149479</v>
      </c>
    </row>
    <row r="302" spans="1:17" ht="25.5">
      <c r="A302" s="78" t="s">
        <v>323</v>
      </c>
      <c r="B302" s="78" t="s">
        <v>87</v>
      </c>
      <c r="C302" s="50" t="s">
        <v>980</v>
      </c>
      <c r="D302" s="50" t="s">
        <v>576</v>
      </c>
      <c r="E302" s="79" t="s">
        <v>174</v>
      </c>
      <c r="F302" s="26">
        <f t="shared" si="52"/>
        <v>0</v>
      </c>
      <c r="G302" s="27"/>
      <c r="H302" s="27"/>
      <c r="I302" s="27"/>
      <c r="J302" s="27"/>
      <c r="K302" s="26">
        <f t="shared" si="53"/>
        <v>4149479</v>
      </c>
      <c r="L302" s="27"/>
      <c r="M302" s="27"/>
      <c r="N302" s="27"/>
      <c r="O302" s="27">
        <f>P302</f>
        <v>4149479</v>
      </c>
      <c r="P302" s="27">
        <f>2670892+608400+870187</f>
        <v>4149479</v>
      </c>
      <c r="Q302" s="26">
        <f t="shared" si="54"/>
        <v>4149479</v>
      </c>
    </row>
    <row r="303" spans="1:17" ht="25.5">
      <c r="A303" s="112" t="s">
        <v>662</v>
      </c>
      <c r="B303" s="112" t="s">
        <v>617</v>
      </c>
      <c r="C303" s="112" t="s">
        <v>1091</v>
      </c>
      <c r="D303" s="112"/>
      <c r="E303" s="115" t="s">
        <v>619</v>
      </c>
      <c r="F303" s="26">
        <f t="shared" si="52"/>
        <v>680000</v>
      </c>
      <c r="G303" s="114">
        <f>G304</f>
        <v>680000</v>
      </c>
      <c r="H303" s="114">
        <f>H304</f>
        <v>0</v>
      </c>
      <c r="I303" s="114">
        <f>I304</f>
        <v>0</v>
      </c>
      <c r="J303" s="114">
        <f>J304</f>
        <v>0</v>
      </c>
      <c r="K303" s="26">
        <f t="shared" si="53"/>
        <v>0</v>
      </c>
      <c r="L303" s="114">
        <f>L304</f>
        <v>0</v>
      </c>
      <c r="M303" s="114">
        <f>M304</f>
        <v>0</v>
      </c>
      <c r="N303" s="114">
        <f>N304</f>
        <v>0</v>
      </c>
      <c r="O303" s="114">
        <f>O304</f>
        <v>0</v>
      </c>
      <c r="P303" s="114">
        <f>P304</f>
        <v>0</v>
      </c>
      <c r="Q303" s="26">
        <f t="shared" si="54"/>
        <v>680000</v>
      </c>
    </row>
    <row r="304" spans="1:17" ht="25.5">
      <c r="A304" s="50" t="s">
        <v>549</v>
      </c>
      <c r="B304" s="50" t="s">
        <v>322</v>
      </c>
      <c r="C304" s="50" t="s">
        <v>1092</v>
      </c>
      <c r="D304" s="50" t="s">
        <v>585</v>
      </c>
      <c r="E304" s="79" t="s">
        <v>497</v>
      </c>
      <c r="F304" s="26">
        <f t="shared" si="52"/>
        <v>680000</v>
      </c>
      <c r="G304" s="27">
        <f>500000+80000+100000</f>
        <v>680000</v>
      </c>
      <c r="H304" s="27"/>
      <c r="I304" s="27"/>
      <c r="J304" s="27"/>
      <c r="K304" s="26">
        <f t="shared" si="53"/>
        <v>0</v>
      </c>
      <c r="L304" s="27"/>
      <c r="M304" s="27"/>
      <c r="N304" s="27"/>
      <c r="O304" s="27"/>
      <c r="P304" s="27"/>
      <c r="Q304" s="26">
        <f t="shared" si="54"/>
        <v>680000</v>
      </c>
    </row>
    <row r="305" spans="1:17" ht="25.5">
      <c r="A305" s="112" t="s">
        <v>684</v>
      </c>
      <c r="B305" s="112" t="s">
        <v>634</v>
      </c>
      <c r="C305" s="112" t="s">
        <v>1021</v>
      </c>
      <c r="D305" s="112"/>
      <c r="E305" s="115" t="s">
        <v>635</v>
      </c>
      <c r="F305" s="26">
        <f t="shared" si="52"/>
        <v>2915265</v>
      </c>
      <c r="G305" s="114">
        <f>G306</f>
        <v>2915265</v>
      </c>
      <c r="H305" s="114">
        <f>H306</f>
        <v>0</v>
      </c>
      <c r="I305" s="114">
        <f>I306</f>
        <v>0</v>
      </c>
      <c r="J305" s="114">
        <f>J306</f>
        <v>0</v>
      </c>
      <c r="K305" s="26">
        <f t="shared" si="53"/>
        <v>0</v>
      </c>
      <c r="L305" s="114">
        <f>L306</f>
        <v>0</v>
      </c>
      <c r="M305" s="114">
        <f>M306</f>
        <v>0</v>
      </c>
      <c r="N305" s="114">
        <f>N306</f>
        <v>0</v>
      </c>
      <c r="O305" s="114">
        <f>O306</f>
        <v>0</v>
      </c>
      <c r="P305" s="114">
        <f>P306</f>
        <v>0</v>
      </c>
      <c r="Q305" s="26">
        <f t="shared" si="54"/>
        <v>2915265</v>
      </c>
    </row>
    <row r="306" spans="1:17" ht="12.75">
      <c r="A306" s="85" t="s">
        <v>419</v>
      </c>
      <c r="B306" s="85" t="s">
        <v>54</v>
      </c>
      <c r="C306" s="85" t="s">
        <v>1093</v>
      </c>
      <c r="D306" s="85" t="s">
        <v>577</v>
      </c>
      <c r="E306" s="87" t="s">
        <v>416</v>
      </c>
      <c r="F306" s="26">
        <f t="shared" si="52"/>
        <v>2915265</v>
      </c>
      <c r="G306" s="88">
        <f>G307+G308</f>
        <v>2915265</v>
      </c>
      <c r="H306" s="88">
        <f>H307+H308</f>
        <v>0</v>
      </c>
      <c r="I306" s="88">
        <f>I307+I308</f>
        <v>0</v>
      </c>
      <c r="J306" s="88">
        <f>J307+J308</f>
        <v>0</v>
      </c>
      <c r="K306" s="26">
        <f t="shared" si="53"/>
        <v>0</v>
      </c>
      <c r="L306" s="88">
        <f>L307+L308</f>
        <v>0</v>
      </c>
      <c r="M306" s="88">
        <f>M307+M308</f>
        <v>0</v>
      </c>
      <c r="N306" s="88">
        <f>N307+N308</f>
        <v>0</v>
      </c>
      <c r="O306" s="88">
        <f>O307+O308</f>
        <v>0</v>
      </c>
      <c r="P306" s="88">
        <f>P307+P308</f>
        <v>0</v>
      </c>
      <c r="Q306" s="26">
        <f t="shared" si="54"/>
        <v>2915265</v>
      </c>
    </row>
    <row r="307" spans="1:17" s="169" customFormat="1" ht="39" customHeight="1" hidden="1">
      <c r="A307" s="170" t="s">
        <v>376</v>
      </c>
      <c r="B307" s="171" t="s">
        <v>54</v>
      </c>
      <c r="C307" s="170" t="s">
        <v>989</v>
      </c>
      <c r="D307" s="170" t="s">
        <v>577</v>
      </c>
      <c r="E307" s="179" t="s">
        <v>177</v>
      </c>
      <c r="F307" s="173">
        <f t="shared" si="52"/>
        <v>699935</v>
      </c>
      <c r="G307" s="173">
        <v>699935</v>
      </c>
      <c r="H307" s="173"/>
      <c r="I307" s="173"/>
      <c r="J307" s="173"/>
      <c r="K307" s="173">
        <f t="shared" si="53"/>
        <v>0</v>
      </c>
      <c r="L307" s="173"/>
      <c r="M307" s="173"/>
      <c r="N307" s="173"/>
      <c r="O307" s="173"/>
      <c r="P307" s="173"/>
      <c r="Q307" s="173">
        <f t="shared" si="54"/>
        <v>699935</v>
      </c>
    </row>
    <row r="308" spans="1:17" s="174" customFormat="1" ht="38.25" hidden="1">
      <c r="A308" s="182" t="s">
        <v>866</v>
      </c>
      <c r="B308" s="182" t="s">
        <v>54</v>
      </c>
      <c r="C308" s="182" t="s">
        <v>985</v>
      </c>
      <c r="D308" s="182" t="s">
        <v>577</v>
      </c>
      <c r="E308" s="178" t="s">
        <v>853</v>
      </c>
      <c r="F308" s="173">
        <f t="shared" si="52"/>
        <v>2215330</v>
      </c>
      <c r="G308" s="183">
        <v>2215330</v>
      </c>
      <c r="H308" s="183"/>
      <c r="I308" s="183"/>
      <c r="J308" s="183"/>
      <c r="K308" s="173">
        <f t="shared" si="53"/>
        <v>0</v>
      </c>
      <c r="L308" s="183"/>
      <c r="M308" s="183"/>
      <c r="N308" s="183"/>
      <c r="O308" s="183"/>
      <c r="P308" s="183"/>
      <c r="Q308" s="173">
        <f t="shared" si="54"/>
        <v>2215330</v>
      </c>
    </row>
    <row r="309" spans="1:18" ht="25.5">
      <c r="A309" s="62" t="s">
        <v>776</v>
      </c>
      <c r="B309" s="62" t="s">
        <v>780</v>
      </c>
      <c r="C309" s="62" t="s">
        <v>780</v>
      </c>
      <c r="D309" s="62"/>
      <c r="E309" s="61" t="s">
        <v>783</v>
      </c>
      <c r="F309" s="39">
        <f aca="true" t="shared" si="55" ref="F309:F314">G309+J309</f>
        <v>20356796</v>
      </c>
      <c r="G309" s="39">
        <f>G310</f>
        <v>20356796</v>
      </c>
      <c r="H309" s="39">
        <f aca="true" t="shared" si="56" ref="H309:J311">H310</f>
        <v>14578614</v>
      </c>
      <c r="I309" s="39">
        <f t="shared" si="56"/>
        <v>544687</v>
      </c>
      <c r="J309" s="39">
        <f t="shared" si="56"/>
        <v>0</v>
      </c>
      <c r="K309" s="39">
        <f aca="true" t="shared" si="57" ref="K309:K314">L309+O309</f>
        <v>112200</v>
      </c>
      <c r="L309" s="39">
        <f aca="true" t="shared" si="58" ref="L309:P311">L310</f>
        <v>0</v>
      </c>
      <c r="M309" s="39">
        <f t="shared" si="58"/>
        <v>0</v>
      </c>
      <c r="N309" s="39">
        <f t="shared" si="58"/>
        <v>0</v>
      </c>
      <c r="O309" s="39">
        <f t="shared" si="58"/>
        <v>112200</v>
      </c>
      <c r="P309" s="39">
        <f t="shared" si="58"/>
        <v>112200</v>
      </c>
      <c r="Q309" s="40">
        <f aca="true" t="shared" si="59" ref="Q309:Q314">F309+K309</f>
        <v>20468996</v>
      </c>
      <c r="R309" s="164"/>
    </row>
    <row r="310" spans="1:17" ht="25.5">
      <c r="A310" s="59" t="s">
        <v>777</v>
      </c>
      <c r="B310" s="31"/>
      <c r="C310" s="31"/>
      <c r="D310" s="31"/>
      <c r="E310" s="49" t="s">
        <v>783</v>
      </c>
      <c r="F310" s="26">
        <f t="shared" si="55"/>
        <v>20356796</v>
      </c>
      <c r="G310" s="26">
        <f>G311</f>
        <v>20356796</v>
      </c>
      <c r="H310" s="26">
        <f t="shared" si="56"/>
        <v>14578614</v>
      </c>
      <c r="I310" s="26">
        <f t="shared" si="56"/>
        <v>544687</v>
      </c>
      <c r="J310" s="26">
        <f t="shared" si="56"/>
        <v>0</v>
      </c>
      <c r="K310" s="26">
        <f t="shared" si="57"/>
        <v>112200</v>
      </c>
      <c r="L310" s="26">
        <f t="shared" si="58"/>
        <v>0</v>
      </c>
      <c r="M310" s="26">
        <f t="shared" si="58"/>
        <v>0</v>
      </c>
      <c r="N310" s="26">
        <f t="shared" si="58"/>
        <v>0</v>
      </c>
      <c r="O310" s="26">
        <f t="shared" si="58"/>
        <v>112200</v>
      </c>
      <c r="P310" s="26">
        <f t="shared" si="58"/>
        <v>112200</v>
      </c>
      <c r="Q310" s="26">
        <f t="shared" si="59"/>
        <v>20468996</v>
      </c>
    </row>
    <row r="311" spans="1:17" ht="12.75">
      <c r="A311" s="112" t="s">
        <v>778</v>
      </c>
      <c r="B311" s="111" t="s">
        <v>671</v>
      </c>
      <c r="C311" s="111" t="s">
        <v>972</v>
      </c>
      <c r="D311" s="111"/>
      <c r="E311" s="127" t="s">
        <v>673</v>
      </c>
      <c r="F311" s="26">
        <f t="shared" si="55"/>
        <v>20356796</v>
      </c>
      <c r="G311" s="123">
        <f>G312</f>
        <v>20356796</v>
      </c>
      <c r="H311" s="123">
        <f t="shared" si="56"/>
        <v>14578614</v>
      </c>
      <c r="I311" s="123">
        <f t="shared" si="56"/>
        <v>544687</v>
      </c>
      <c r="J311" s="123">
        <f t="shared" si="56"/>
        <v>0</v>
      </c>
      <c r="K311" s="26">
        <f t="shared" si="57"/>
        <v>112200</v>
      </c>
      <c r="L311" s="123">
        <f t="shared" si="58"/>
        <v>0</v>
      </c>
      <c r="M311" s="123">
        <f t="shared" si="58"/>
        <v>0</v>
      </c>
      <c r="N311" s="123">
        <f t="shared" si="58"/>
        <v>0</v>
      </c>
      <c r="O311" s="123">
        <f t="shared" si="58"/>
        <v>112200</v>
      </c>
      <c r="P311" s="123">
        <f t="shared" si="58"/>
        <v>112200</v>
      </c>
      <c r="Q311" s="26">
        <f t="shared" si="59"/>
        <v>20468996</v>
      </c>
    </row>
    <row r="312" spans="1:17" ht="63.75">
      <c r="A312" s="50" t="s">
        <v>779</v>
      </c>
      <c r="B312" s="28" t="s">
        <v>33</v>
      </c>
      <c r="C312" s="50" t="s">
        <v>613</v>
      </c>
      <c r="D312" s="50" t="s">
        <v>574</v>
      </c>
      <c r="E312" s="51" t="s">
        <v>964</v>
      </c>
      <c r="F312" s="26">
        <f t="shared" si="55"/>
        <v>20356796</v>
      </c>
      <c r="G312" s="27">
        <f>18337171+61088+1819734+100805+37998</f>
        <v>20356796</v>
      </c>
      <c r="H312" s="27">
        <f>13126262-50338+1471480+31210</f>
        <v>14578614</v>
      </c>
      <c r="I312" s="27">
        <v>544687</v>
      </c>
      <c r="J312" s="27"/>
      <c r="K312" s="26">
        <f t="shared" si="57"/>
        <v>112200</v>
      </c>
      <c r="L312" s="27"/>
      <c r="M312" s="27"/>
      <c r="N312" s="27"/>
      <c r="O312" s="27">
        <f>P312</f>
        <v>112200</v>
      </c>
      <c r="P312" s="27">
        <f>1500000-1387800</f>
        <v>112200</v>
      </c>
      <c r="Q312" s="26">
        <f t="shared" si="59"/>
        <v>20468996</v>
      </c>
    </row>
    <row r="313" spans="1:18" ht="42" customHeight="1">
      <c r="A313" s="72" t="s">
        <v>254</v>
      </c>
      <c r="B313" s="72" t="s">
        <v>158</v>
      </c>
      <c r="C313" s="62" t="s">
        <v>158</v>
      </c>
      <c r="D313" s="72"/>
      <c r="E313" s="61" t="s">
        <v>874</v>
      </c>
      <c r="F313" s="84">
        <f t="shared" si="55"/>
        <v>468740207</v>
      </c>
      <c r="G313" s="84">
        <f>G314</f>
        <v>468740207</v>
      </c>
      <c r="H313" s="84">
        <f>H314</f>
        <v>4199008</v>
      </c>
      <c r="I313" s="84">
        <f>I314</f>
        <v>197084</v>
      </c>
      <c r="J313" s="84">
        <f>J314</f>
        <v>0</v>
      </c>
      <c r="K313" s="84">
        <f t="shared" si="57"/>
        <v>590359300</v>
      </c>
      <c r="L313" s="84">
        <f>L314</f>
        <v>8054948</v>
      </c>
      <c r="M313" s="84">
        <f>M314</f>
        <v>0</v>
      </c>
      <c r="N313" s="84">
        <f>N314</f>
        <v>0</v>
      </c>
      <c r="O313" s="84">
        <f>O314</f>
        <v>582304352</v>
      </c>
      <c r="P313" s="84">
        <f>P314</f>
        <v>582254352</v>
      </c>
      <c r="Q313" s="84">
        <f t="shared" si="59"/>
        <v>1059099507</v>
      </c>
      <c r="R313" s="164"/>
    </row>
    <row r="314" spans="1:17" ht="55.5" customHeight="1">
      <c r="A314" s="59" t="s">
        <v>255</v>
      </c>
      <c r="B314" s="31"/>
      <c r="C314" s="31"/>
      <c r="D314" s="31"/>
      <c r="E314" s="83" t="s">
        <v>900</v>
      </c>
      <c r="F314" s="27">
        <f t="shared" si="55"/>
        <v>468740207</v>
      </c>
      <c r="G314" s="27">
        <f>G315+G317+G328+G333+G341+G335+G332</f>
        <v>468740207</v>
      </c>
      <c r="H314" s="27">
        <f>H315+H317+H328+H333+H341+H335+H332</f>
        <v>4199008</v>
      </c>
      <c r="I314" s="27">
        <f>I315+I317+I328+I333+I341+I335+I332</f>
        <v>197084</v>
      </c>
      <c r="J314" s="27">
        <f>J315+J317+J328+J333+J341+J335+J332</f>
        <v>0</v>
      </c>
      <c r="K314" s="27">
        <f t="shared" si="57"/>
        <v>590359300</v>
      </c>
      <c r="L314" s="27">
        <f>L315+L317+L328+L333+L341+L335+L332</f>
        <v>8054948</v>
      </c>
      <c r="M314" s="27">
        <f>M315+M317+M328+M333+M341+M335+M332</f>
        <v>0</v>
      </c>
      <c r="N314" s="27">
        <f>N315+N317+N328+N333+N341+N335+N332</f>
        <v>0</v>
      </c>
      <c r="O314" s="27">
        <f>O315+O317+O328+O333+O341+O335+O332</f>
        <v>582304352</v>
      </c>
      <c r="P314" s="27">
        <f>P315+P317+P328+P333+P341+P335+P332</f>
        <v>582254352</v>
      </c>
      <c r="Q314" s="27">
        <f t="shared" si="59"/>
        <v>1059099507</v>
      </c>
    </row>
    <row r="315" spans="1:17" ht="12.75">
      <c r="A315" s="112" t="s">
        <v>685</v>
      </c>
      <c r="B315" s="111" t="s">
        <v>671</v>
      </c>
      <c r="C315" s="111" t="s">
        <v>972</v>
      </c>
      <c r="D315" s="111"/>
      <c r="E315" s="122" t="s">
        <v>673</v>
      </c>
      <c r="F315" s="27">
        <f aca="true" t="shared" si="60" ref="F315:F340">G315+J315</f>
        <v>5727554</v>
      </c>
      <c r="G315" s="114">
        <f>G316</f>
        <v>5727554</v>
      </c>
      <c r="H315" s="114">
        <f>H316</f>
        <v>4199008</v>
      </c>
      <c r="I315" s="114">
        <f>I316</f>
        <v>197084</v>
      </c>
      <c r="J315" s="114">
        <f>J316</f>
        <v>0</v>
      </c>
      <c r="K315" s="27">
        <f aca="true" t="shared" si="61" ref="K315:K340">L315+O315</f>
        <v>806216</v>
      </c>
      <c r="L315" s="114">
        <f>L316</f>
        <v>0</v>
      </c>
      <c r="M315" s="114">
        <f>M316</f>
        <v>0</v>
      </c>
      <c r="N315" s="114">
        <f>N316</f>
        <v>0</v>
      </c>
      <c r="O315" s="114">
        <f>O316</f>
        <v>806216</v>
      </c>
      <c r="P315" s="114">
        <f>P316</f>
        <v>806216</v>
      </c>
      <c r="Q315" s="27">
        <f aca="true" t="shared" si="62" ref="Q315:Q340">F315+K315</f>
        <v>6533770</v>
      </c>
    </row>
    <row r="316" spans="1:17" ht="39.75" customHeight="1">
      <c r="A316" s="50" t="s">
        <v>9</v>
      </c>
      <c r="B316" s="28" t="s">
        <v>33</v>
      </c>
      <c r="C316" s="50" t="s">
        <v>613</v>
      </c>
      <c r="D316" s="50" t="s">
        <v>574</v>
      </c>
      <c r="E316" s="51" t="s">
        <v>312</v>
      </c>
      <c r="F316" s="27">
        <f t="shared" si="60"/>
        <v>5727554</v>
      </c>
      <c r="G316" s="27">
        <f>4622209+(362474)+27000+89762-362474+974464+14119</f>
        <v>5727554</v>
      </c>
      <c r="H316" s="27">
        <f>3386342+801093+11573</f>
        <v>4199008</v>
      </c>
      <c r="I316" s="27">
        <v>197084</v>
      </c>
      <c r="J316" s="27"/>
      <c r="K316" s="27">
        <f t="shared" si="61"/>
        <v>806216</v>
      </c>
      <c r="L316" s="27"/>
      <c r="M316" s="27"/>
      <c r="N316" s="27"/>
      <c r="O316" s="27">
        <f>P316</f>
        <v>806216</v>
      </c>
      <c r="P316" s="27">
        <f>291890+133652-27000+45200+362474</f>
        <v>806216</v>
      </c>
      <c r="Q316" s="27">
        <f t="shared" si="62"/>
        <v>6533770</v>
      </c>
    </row>
    <row r="317" spans="1:17" ht="12.75">
      <c r="A317" s="112" t="s">
        <v>664</v>
      </c>
      <c r="B317" s="112" t="s">
        <v>663</v>
      </c>
      <c r="C317" s="112" t="s">
        <v>1094</v>
      </c>
      <c r="D317" s="112"/>
      <c r="E317" s="127" t="s">
        <v>665</v>
      </c>
      <c r="F317" s="27">
        <f t="shared" si="60"/>
        <v>54854438</v>
      </c>
      <c r="G317" s="114">
        <f>G318+G319+G322+G325+G323+G327+G326</f>
        <v>54854438</v>
      </c>
      <c r="H317" s="114">
        <f>H318+H319+H322+H325+H323+H327+H326</f>
        <v>0</v>
      </c>
      <c r="I317" s="114">
        <f>I318+I319+I322+I325+I323+I327+I326</f>
        <v>0</v>
      </c>
      <c r="J317" s="114">
        <f>J318+J319+J322+J325+J323+J327+J326</f>
        <v>0</v>
      </c>
      <c r="K317" s="27">
        <f t="shared" si="61"/>
        <v>500887925</v>
      </c>
      <c r="L317" s="114">
        <f>L318+L319+L322+L325+L323+L327+L326</f>
        <v>8054948</v>
      </c>
      <c r="M317" s="114">
        <f>M318+M319+M322+M325+M323+M327+M326</f>
        <v>0</v>
      </c>
      <c r="N317" s="114">
        <f>N318+N319+N322+N325+N323+N327+N326</f>
        <v>0</v>
      </c>
      <c r="O317" s="114">
        <f>O318+O319+O322+O325+O323+O327+O326</f>
        <v>492832977</v>
      </c>
      <c r="P317" s="114">
        <f>P318+P319+P322+P325+P323+P327+P326</f>
        <v>492832977</v>
      </c>
      <c r="Q317" s="27">
        <f t="shared" si="62"/>
        <v>555742363</v>
      </c>
    </row>
    <row r="318" spans="1:17" ht="51.75" customHeight="1">
      <c r="A318" s="112" t="s">
        <v>327</v>
      </c>
      <c r="B318" s="112" t="s">
        <v>321</v>
      </c>
      <c r="C318" s="112" t="s">
        <v>1095</v>
      </c>
      <c r="D318" s="112" t="s">
        <v>606</v>
      </c>
      <c r="E318" s="113" t="s">
        <v>328</v>
      </c>
      <c r="F318" s="114">
        <f t="shared" si="60"/>
        <v>28517503</v>
      </c>
      <c r="G318" s="114">
        <f>11559091+33000000+10000000-302861-25000000-10000000+198000+(19955)+363190+62165+(6000)+(163860)-(100500)+(22200)+(48000)+(61555)+(7500)+(9100)+63500+46200+327652+(181280)+(184450)+3000000+(11998)-3000000+4875653+3000000-476397+(124580)+(8000)+(53332)</f>
        <v>28517503</v>
      </c>
      <c r="H318" s="114"/>
      <c r="I318" s="114"/>
      <c r="J318" s="114"/>
      <c r="K318" s="27">
        <f t="shared" si="61"/>
        <v>0</v>
      </c>
      <c r="L318" s="114"/>
      <c r="M318" s="114"/>
      <c r="N318" s="114"/>
      <c r="O318" s="114"/>
      <c r="P318" s="114"/>
      <c r="Q318" s="114">
        <f t="shared" si="62"/>
        <v>28517503</v>
      </c>
    </row>
    <row r="319" spans="1:17" ht="25.5">
      <c r="A319" s="112" t="s">
        <v>666</v>
      </c>
      <c r="B319" s="112"/>
      <c r="C319" s="112" t="s">
        <v>1096</v>
      </c>
      <c r="D319" s="112"/>
      <c r="E319" s="113" t="s">
        <v>667</v>
      </c>
      <c r="F319" s="27">
        <f t="shared" si="60"/>
        <v>0</v>
      </c>
      <c r="G319" s="114">
        <f>G320+G321</f>
        <v>0</v>
      </c>
      <c r="H319" s="114">
        <f>H320+H321</f>
        <v>0</v>
      </c>
      <c r="I319" s="114">
        <f>I320+I321</f>
        <v>0</v>
      </c>
      <c r="J319" s="114">
        <f>J320+J321</f>
        <v>0</v>
      </c>
      <c r="K319" s="27">
        <f t="shared" si="61"/>
        <v>485794961</v>
      </c>
      <c r="L319" s="114">
        <f>L320+L321</f>
        <v>0</v>
      </c>
      <c r="M319" s="114">
        <f>M320+M321</f>
        <v>0</v>
      </c>
      <c r="N319" s="114">
        <f>N320+N321</f>
        <v>0</v>
      </c>
      <c r="O319" s="114">
        <f>O320+O321</f>
        <v>485794961</v>
      </c>
      <c r="P319" s="114">
        <f>P320+P321</f>
        <v>485794961</v>
      </c>
      <c r="Q319" s="27">
        <f t="shared" si="62"/>
        <v>485794961</v>
      </c>
    </row>
    <row r="320" spans="1:17" ht="25.5" customHeight="1">
      <c r="A320" s="50" t="s">
        <v>390</v>
      </c>
      <c r="B320" s="50" t="s">
        <v>103</v>
      </c>
      <c r="C320" s="50" t="s">
        <v>1097</v>
      </c>
      <c r="D320" s="50" t="s">
        <v>606</v>
      </c>
      <c r="E320" s="48" t="s">
        <v>329</v>
      </c>
      <c r="F320" s="27">
        <f t="shared" si="60"/>
        <v>0</v>
      </c>
      <c r="G320" s="27"/>
      <c r="H320" s="27"/>
      <c r="I320" s="27"/>
      <c r="J320" s="27"/>
      <c r="K320" s="27">
        <f t="shared" si="61"/>
        <v>385409982</v>
      </c>
      <c r="L320" s="27"/>
      <c r="M320" s="27"/>
      <c r="N320" s="27"/>
      <c r="O320" s="27">
        <f aca="true" t="shared" si="63" ref="O320:O325">P320</f>
        <v>385409982</v>
      </c>
      <c r="P320" s="27">
        <f>445000000-33000000-15000000+25000000-8536457+((402963))-8000000+(76280)+679003-109819-(6000)-17040-237996+(13200)+(24000)+(271000)-4593136-5000000+130911+(479500)+62960+(488486)+(99000)+10978885-62960-(90)+(190975)-(20000)+(58000)-2018469+(10000)+152445-9509576+(330240)+(420800)-3000000-(300420)+29000+32791-9841861-234633+(70000)-(79000)+(15000)-(38000)</f>
        <v>385409982</v>
      </c>
      <c r="Q320" s="27">
        <f t="shared" si="62"/>
        <v>385409982</v>
      </c>
    </row>
    <row r="321" spans="1:17" ht="39" customHeight="1">
      <c r="A321" s="50" t="s">
        <v>460</v>
      </c>
      <c r="B321" s="50" t="s">
        <v>458</v>
      </c>
      <c r="C321" s="50" t="s">
        <v>1098</v>
      </c>
      <c r="D321" s="50" t="s">
        <v>606</v>
      </c>
      <c r="E321" s="48" t="s">
        <v>459</v>
      </c>
      <c r="F321" s="27">
        <f>G321+J321</f>
        <v>0</v>
      </c>
      <c r="G321" s="27"/>
      <c r="H321" s="27"/>
      <c r="I321" s="27"/>
      <c r="J321" s="27"/>
      <c r="K321" s="27">
        <f>L321+O321</f>
        <v>100384979</v>
      </c>
      <c r="L321" s="27"/>
      <c r="M321" s="27"/>
      <c r="N321" s="27"/>
      <c r="O321" s="27">
        <f t="shared" si="63"/>
        <v>100384979</v>
      </c>
      <c r="P321" s="27">
        <f>32000000+28000000+30000000+(17312)+(35000)+(134500)+(100500)+1680319-(94500)-62960+(110201)+(24559)+62960+(18000)+(41000)+(36000)+(20000)+296000+(9300)+1486705+4900962+(202000)+(192530)+(38000)+(155420)+709963-32791-(45000)+(248999)+(90000)-(41000)+(51000)</f>
        <v>100384979</v>
      </c>
      <c r="Q321" s="27">
        <f aca="true" t="shared" si="64" ref="Q321:Q326">F321+K321</f>
        <v>100384979</v>
      </c>
    </row>
    <row r="322" spans="1:17" ht="39" customHeight="1">
      <c r="A322" s="112" t="s">
        <v>256</v>
      </c>
      <c r="B322" s="112" t="s">
        <v>110</v>
      </c>
      <c r="C322" s="112" t="s">
        <v>1099</v>
      </c>
      <c r="D322" s="112" t="s">
        <v>606</v>
      </c>
      <c r="E322" s="115" t="s">
        <v>257</v>
      </c>
      <c r="F322" s="27">
        <f t="shared" si="60"/>
        <v>0</v>
      </c>
      <c r="G322" s="114"/>
      <c r="H322" s="114"/>
      <c r="I322" s="114"/>
      <c r="J322" s="114"/>
      <c r="K322" s="27">
        <f t="shared" si="61"/>
        <v>0</v>
      </c>
      <c r="L322" s="114"/>
      <c r="M322" s="114"/>
      <c r="N322" s="114"/>
      <c r="O322" s="27">
        <f t="shared" si="63"/>
        <v>0</v>
      </c>
      <c r="P322" s="114"/>
      <c r="Q322" s="27">
        <f t="shared" si="64"/>
        <v>0</v>
      </c>
    </row>
    <row r="323" spans="1:17" ht="25.5">
      <c r="A323" s="112" t="s">
        <v>1192</v>
      </c>
      <c r="B323" s="112"/>
      <c r="C323" s="112" t="s">
        <v>1193</v>
      </c>
      <c r="D323" s="112"/>
      <c r="E323" s="115" t="s">
        <v>1196</v>
      </c>
      <c r="F323" s="114">
        <f t="shared" si="60"/>
        <v>3565489</v>
      </c>
      <c r="G323" s="114">
        <f>G324</f>
        <v>3565489</v>
      </c>
      <c r="H323" s="114">
        <f>H324</f>
        <v>0</v>
      </c>
      <c r="I323" s="114">
        <f>I324</f>
        <v>0</v>
      </c>
      <c r="J323" s="114">
        <f>J324</f>
        <v>0</v>
      </c>
      <c r="K323" s="114">
        <f t="shared" si="61"/>
        <v>2319216</v>
      </c>
      <c r="L323" s="114">
        <f>L324</f>
        <v>0</v>
      </c>
      <c r="M323" s="114">
        <f>M324</f>
        <v>0</v>
      </c>
      <c r="N323" s="114">
        <f>N324</f>
        <v>0</v>
      </c>
      <c r="O323" s="114">
        <f t="shared" si="63"/>
        <v>2319216</v>
      </c>
      <c r="P323" s="114">
        <f>P324</f>
        <v>2319216</v>
      </c>
      <c r="Q323" s="114">
        <f t="shared" si="64"/>
        <v>5884705</v>
      </c>
    </row>
    <row r="324" spans="1:17" ht="25.5">
      <c r="A324" s="28" t="s">
        <v>1195</v>
      </c>
      <c r="B324" s="28"/>
      <c r="C324" s="28" t="s">
        <v>1194</v>
      </c>
      <c r="D324" s="28" t="s">
        <v>607</v>
      </c>
      <c r="E324" s="48" t="s">
        <v>1197</v>
      </c>
      <c r="F324" s="27">
        <f>G324</f>
        <v>3565489</v>
      </c>
      <c r="G324" s="27">
        <f>6259890-2413726-280675</f>
        <v>3565489</v>
      </c>
      <c r="H324" s="27"/>
      <c r="I324" s="27"/>
      <c r="J324" s="27"/>
      <c r="K324" s="27">
        <f t="shared" si="61"/>
        <v>2319216</v>
      </c>
      <c r="L324" s="27"/>
      <c r="M324" s="27"/>
      <c r="N324" s="27"/>
      <c r="O324" s="27">
        <f t="shared" si="63"/>
        <v>2319216</v>
      </c>
      <c r="P324" s="27">
        <f>2038541+280675</f>
        <v>2319216</v>
      </c>
      <c r="Q324" s="27">
        <f t="shared" si="64"/>
        <v>5884705</v>
      </c>
    </row>
    <row r="325" spans="1:17" ht="38.25">
      <c r="A325" s="112" t="s">
        <v>794</v>
      </c>
      <c r="B325" s="112" t="s">
        <v>793</v>
      </c>
      <c r="C325" s="112" t="s">
        <v>1100</v>
      </c>
      <c r="D325" s="112" t="s">
        <v>607</v>
      </c>
      <c r="E325" s="115" t="s">
        <v>795</v>
      </c>
      <c r="F325" s="27">
        <f>G325+J325</f>
        <v>0</v>
      </c>
      <c r="G325" s="114"/>
      <c r="H325" s="114"/>
      <c r="I325" s="114"/>
      <c r="J325" s="114"/>
      <c r="K325" s="27">
        <f>L325+O325</f>
        <v>4718800</v>
      </c>
      <c r="L325" s="114"/>
      <c r="M325" s="114"/>
      <c r="N325" s="114"/>
      <c r="O325" s="114">
        <f t="shared" si="63"/>
        <v>4718800</v>
      </c>
      <c r="P325" s="114">
        <f>8536457-3960250+142593</f>
        <v>4718800</v>
      </c>
      <c r="Q325" s="27">
        <f t="shared" si="64"/>
        <v>4718800</v>
      </c>
    </row>
    <row r="326" spans="1:17" ht="102" hidden="1">
      <c r="A326" s="112" t="s">
        <v>1231</v>
      </c>
      <c r="B326" s="112"/>
      <c r="C326" s="112" t="s">
        <v>1232</v>
      </c>
      <c r="D326" s="112" t="s">
        <v>1229</v>
      </c>
      <c r="E326" s="115" t="s">
        <v>1233</v>
      </c>
      <c r="F326" s="27">
        <f>G326</f>
        <v>0</v>
      </c>
      <c r="G326" s="114">
        <f>3000000-3000000</f>
        <v>0</v>
      </c>
      <c r="H326" s="114"/>
      <c r="I326" s="114"/>
      <c r="J326" s="114"/>
      <c r="K326" s="27">
        <f>L326+O326</f>
        <v>0</v>
      </c>
      <c r="L326" s="114"/>
      <c r="M326" s="114"/>
      <c r="N326" s="114"/>
      <c r="O326" s="114"/>
      <c r="P326" s="114"/>
      <c r="Q326" s="27">
        <f t="shared" si="64"/>
        <v>0</v>
      </c>
    </row>
    <row r="327" spans="1:17" ht="270" customHeight="1">
      <c r="A327" s="112" t="s">
        <v>1227</v>
      </c>
      <c r="B327" s="112" t="s">
        <v>793</v>
      </c>
      <c r="C327" s="112" t="s">
        <v>1228</v>
      </c>
      <c r="D327" s="112" t="s">
        <v>1229</v>
      </c>
      <c r="E327" s="115" t="s">
        <v>1230</v>
      </c>
      <c r="F327" s="27">
        <f>G327</f>
        <v>22771446</v>
      </c>
      <c r="G327" s="114">
        <f>28583675-27069-5785160</f>
        <v>22771446</v>
      </c>
      <c r="H327" s="114"/>
      <c r="I327" s="114"/>
      <c r="J327" s="114"/>
      <c r="K327" s="27">
        <f t="shared" si="61"/>
        <v>8054948</v>
      </c>
      <c r="L327" s="114">
        <f>2242719+27069+5785160</f>
        <v>8054948</v>
      </c>
      <c r="M327" s="114"/>
      <c r="N327" s="114"/>
      <c r="O327" s="114"/>
      <c r="P327" s="114"/>
      <c r="Q327" s="27">
        <f t="shared" si="62"/>
        <v>30826394</v>
      </c>
    </row>
    <row r="328" spans="1:17" ht="12.75">
      <c r="A328" s="112" t="s">
        <v>668</v>
      </c>
      <c r="B328" s="112" t="s">
        <v>628</v>
      </c>
      <c r="C328" s="112" t="s">
        <v>1020</v>
      </c>
      <c r="D328" s="112"/>
      <c r="E328" s="115" t="s">
        <v>630</v>
      </c>
      <c r="F328" s="27">
        <f t="shared" si="60"/>
        <v>0</v>
      </c>
      <c r="G328" s="114">
        <f>G329+G330</f>
        <v>0</v>
      </c>
      <c r="H328" s="114">
        <f>H329+H330</f>
        <v>0</v>
      </c>
      <c r="I328" s="114">
        <f>I329+I330</f>
        <v>0</v>
      </c>
      <c r="J328" s="114">
        <f>J329+J330</f>
        <v>0</v>
      </c>
      <c r="K328" s="27">
        <f t="shared" si="61"/>
        <v>57804026</v>
      </c>
      <c r="L328" s="114">
        <f>L329+L330</f>
        <v>0</v>
      </c>
      <c r="M328" s="114">
        <f>M329+M330</f>
        <v>0</v>
      </c>
      <c r="N328" s="114">
        <f>N329+N330</f>
        <v>0</v>
      </c>
      <c r="O328" s="114">
        <f>O329+O330</f>
        <v>57804026</v>
      </c>
      <c r="P328" s="114">
        <f>P329+P330</f>
        <v>57804026</v>
      </c>
      <c r="Q328" s="27">
        <f t="shared" si="62"/>
        <v>57804026</v>
      </c>
    </row>
    <row r="329" spans="1:17" ht="25.5">
      <c r="A329" s="50" t="s">
        <v>258</v>
      </c>
      <c r="B329" s="28" t="s">
        <v>87</v>
      </c>
      <c r="C329" s="50" t="s">
        <v>980</v>
      </c>
      <c r="D329" s="50" t="s">
        <v>576</v>
      </c>
      <c r="E329" s="48" t="s">
        <v>174</v>
      </c>
      <c r="F329" s="27">
        <f t="shared" si="60"/>
        <v>0</v>
      </c>
      <c r="G329" s="27"/>
      <c r="H329" s="27"/>
      <c r="I329" s="27"/>
      <c r="J329" s="27"/>
      <c r="K329" s="27">
        <f t="shared" si="61"/>
        <v>57116751</v>
      </c>
      <c r="L329" s="27"/>
      <c r="M329" s="27"/>
      <c r="N329" s="27"/>
      <c r="O329" s="27">
        <f>P329</f>
        <v>57116751</v>
      </c>
      <c r="P329" s="27">
        <f>60632283+3620619-8719162+422839-4324804-1942700+209076+9188600-1970000</f>
        <v>57116751</v>
      </c>
      <c r="Q329" s="27">
        <f t="shared" si="62"/>
        <v>57116751</v>
      </c>
    </row>
    <row r="330" spans="1:17" ht="28.5" customHeight="1">
      <c r="A330" s="112" t="s">
        <v>902</v>
      </c>
      <c r="B330" s="112"/>
      <c r="C330" s="112" t="s">
        <v>1101</v>
      </c>
      <c r="D330" s="112"/>
      <c r="E330" s="115" t="s">
        <v>903</v>
      </c>
      <c r="F330" s="27"/>
      <c r="G330" s="114">
        <f>G331</f>
        <v>0</v>
      </c>
      <c r="H330" s="114">
        <f>H331</f>
        <v>0</v>
      </c>
      <c r="I330" s="114">
        <f>I331</f>
        <v>0</v>
      </c>
      <c r="J330" s="114">
        <f>J331</f>
        <v>0</v>
      </c>
      <c r="K330" s="27">
        <f t="shared" si="61"/>
        <v>687275</v>
      </c>
      <c r="L330" s="114">
        <f>L331</f>
        <v>0</v>
      </c>
      <c r="M330" s="114">
        <f>M331</f>
        <v>0</v>
      </c>
      <c r="N330" s="114">
        <f>N331</f>
        <v>0</v>
      </c>
      <c r="O330" s="114">
        <f>O331</f>
        <v>687275</v>
      </c>
      <c r="P330" s="114">
        <f>P331</f>
        <v>687275</v>
      </c>
      <c r="Q330" s="27">
        <f t="shared" si="62"/>
        <v>687275</v>
      </c>
    </row>
    <row r="331" spans="1:17" ht="25.5">
      <c r="A331" s="50" t="s">
        <v>473</v>
      </c>
      <c r="B331" s="50" t="s">
        <v>315</v>
      </c>
      <c r="C331" s="50" t="s">
        <v>1102</v>
      </c>
      <c r="D331" s="50" t="s">
        <v>588</v>
      </c>
      <c r="E331" s="48" t="s">
        <v>316</v>
      </c>
      <c r="F331" s="27">
        <f t="shared" si="60"/>
        <v>0</v>
      </c>
      <c r="G331" s="27"/>
      <c r="H331" s="27"/>
      <c r="I331" s="27"/>
      <c r="J331" s="27"/>
      <c r="K331" s="27">
        <f t="shared" si="61"/>
        <v>687275</v>
      </c>
      <c r="L331" s="27"/>
      <c r="M331" s="27"/>
      <c r="N331" s="27"/>
      <c r="O331" s="27">
        <f>P331</f>
        <v>687275</v>
      </c>
      <c r="P331" s="27">
        <v>687275</v>
      </c>
      <c r="Q331" s="27">
        <f t="shared" si="62"/>
        <v>687275</v>
      </c>
    </row>
    <row r="332" spans="1:17" ht="63.75">
      <c r="A332" s="50" t="s">
        <v>901</v>
      </c>
      <c r="B332" s="28" t="s">
        <v>94</v>
      </c>
      <c r="C332" s="50" t="s">
        <v>1103</v>
      </c>
      <c r="D332" s="50" t="s">
        <v>607</v>
      </c>
      <c r="E332" s="51" t="s">
        <v>281</v>
      </c>
      <c r="F332" s="27">
        <f t="shared" si="60"/>
        <v>0</v>
      </c>
      <c r="G332" s="27"/>
      <c r="H332" s="27"/>
      <c r="I332" s="27"/>
      <c r="J332" s="27"/>
      <c r="K332" s="27">
        <f t="shared" si="61"/>
        <v>0</v>
      </c>
      <c r="L332" s="27"/>
      <c r="M332" s="27"/>
      <c r="N332" s="27"/>
      <c r="O332" s="27">
        <f>P332</f>
        <v>0</v>
      </c>
      <c r="P332" s="27">
        <f>1000000-1000000</f>
        <v>0</v>
      </c>
      <c r="Q332" s="27">
        <f t="shared" si="62"/>
        <v>0</v>
      </c>
    </row>
    <row r="333" spans="1:17" ht="25.5" customHeight="1">
      <c r="A333" s="112" t="s">
        <v>869</v>
      </c>
      <c r="B333" s="112" t="s">
        <v>617</v>
      </c>
      <c r="C333" s="112" t="s">
        <v>1091</v>
      </c>
      <c r="D333" s="112"/>
      <c r="E333" s="115" t="s">
        <v>619</v>
      </c>
      <c r="F333" s="27">
        <f t="shared" si="60"/>
        <v>0</v>
      </c>
      <c r="G333" s="27">
        <f>G334</f>
        <v>0</v>
      </c>
      <c r="H333" s="27">
        <f>H334</f>
        <v>0</v>
      </c>
      <c r="I333" s="27">
        <f>I334</f>
        <v>0</v>
      </c>
      <c r="J333" s="27">
        <f>J334</f>
        <v>0</v>
      </c>
      <c r="K333" s="27">
        <f t="shared" si="61"/>
        <v>30166087</v>
      </c>
      <c r="L333" s="27">
        <f>L334</f>
        <v>0</v>
      </c>
      <c r="M333" s="27">
        <f>M334</f>
        <v>0</v>
      </c>
      <c r="N333" s="27">
        <f>N334</f>
        <v>0</v>
      </c>
      <c r="O333" s="27">
        <f>O334</f>
        <v>30166087</v>
      </c>
      <c r="P333" s="27">
        <f>P334</f>
        <v>30166087</v>
      </c>
      <c r="Q333" s="27">
        <f t="shared" si="62"/>
        <v>30166087</v>
      </c>
    </row>
    <row r="334" spans="1:17" ht="29.25" customHeight="1">
      <c r="A334" s="50" t="s">
        <v>904</v>
      </c>
      <c r="B334" s="28" t="s">
        <v>95</v>
      </c>
      <c r="C334" s="50" t="s">
        <v>982</v>
      </c>
      <c r="D334" s="50" t="s">
        <v>576</v>
      </c>
      <c r="E334" s="48" t="s">
        <v>259</v>
      </c>
      <c r="F334" s="27">
        <f t="shared" si="60"/>
        <v>0</v>
      </c>
      <c r="G334" s="27"/>
      <c r="H334" s="27"/>
      <c r="I334" s="27"/>
      <c r="J334" s="27"/>
      <c r="K334" s="27">
        <f t="shared" si="61"/>
        <v>30166087</v>
      </c>
      <c r="L334" s="27"/>
      <c r="M334" s="27"/>
      <c r="N334" s="27"/>
      <c r="O334" s="27">
        <f>P334</f>
        <v>30166087</v>
      </c>
      <c r="P334" s="27">
        <f>59800427-15015228-22752827-2376945+606300+10173000-134962+1968820-426120-327652-1348726</f>
        <v>30166087</v>
      </c>
      <c r="Q334" s="27">
        <f t="shared" si="62"/>
        <v>30166087</v>
      </c>
    </row>
    <row r="335" spans="1:17" ht="25.5">
      <c r="A335" s="112" t="s">
        <v>670</v>
      </c>
      <c r="B335" s="112" t="s">
        <v>634</v>
      </c>
      <c r="C335" s="112" t="s">
        <v>1021</v>
      </c>
      <c r="D335" s="112"/>
      <c r="E335" s="115" t="s">
        <v>635</v>
      </c>
      <c r="F335" s="27">
        <f t="shared" si="60"/>
        <v>408158215</v>
      </c>
      <c r="G335" s="114">
        <f>G336</f>
        <v>408158215</v>
      </c>
      <c r="H335" s="114">
        <f>H336</f>
        <v>0</v>
      </c>
      <c r="I335" s="114">
        <f>I336</f>
        <v>0</v>
      </c>
      <c r="J335" s="114">
        <f>J336</f>
        <v>0</v>
      </c>
      <c r="K335" s="27">
        <f t="shared" si="61"/>
        <v>645046</v>
      </c>
      <c r="L335" s="114">
        <f>L336</f>
        <v>0</v>
      </c>
      <c r="M335" s="114">
        <f>M336</f>
        <v>0</v>
      </c>
      <c r="N335" s="114">
        <f>N336</f>
        <v>0</v>
      </c>
      <c r="O335" s="114">
        <f>O336</f>
        <v>645046</v>
      </c>
      <c r="P335" s="114">
        <f>P336</f>
        <v>645046</v>
      </c>
      <c r="Q335" s="27">
        <f t="shared" si="62"/>
        <v>408803261</v>
      </c>
    </row>
    <row r="336" spans="1:17" ht="12.75">
      <c r="A336" s="85" t="s">
        <v>420</v>
      </c>
      <c r="B336" s="85" t="s">
        <v>54</v>
      </c>
      <c r="C336" s="85" t="s">
        <v>1093</v>
      </c>
      <c r="D336" s="85" t="s">
        <v>577</v>
      </c>
      <c r="E336" s="87" t="s">
        <v>416</v>
      </c>
      <c r="F336" s="88">
        <f>G336+J336</f>
        <v>408158215</v>
      </c>
      <c r="G336" s="88">
        <f>G337+G340</f>
        <v>408158215</v>
      </c>
      <c r="H336" s="88">
        <f>H337+H340</f>
        <v>0</v>
      </c>
      <c r="I336" s="88">
        <f>I337+I340</f>
        <v>0</v>
      </c>
      <c r="J336" s="88">
        <f>J337+J340</f>
        <v>0</v>
      </c>
      <c r="K336" s="27">
        <f t="shared" si="61"/>
        <v>645046</v>
      </c>
      <c r="L336" s="88">
        <f>L337+L340</f>
        <v>0</v>
      </c>
      <c r="M336" s="88">
        <f>M337+M340</f>
        <v>0</v>
      </c>
      <c r="N336" s="88">
        <f>N337+N340</f>
        <v>0</v>
      </c>
      <c r="O336" s="88">
        <f>O337+O340</f>
        <v>645046</v>
      </c>
      <c r="P336" s="88">
        <f>P337+P340</f>
        <v>645046</v>
      </c>
      <c r="Q336" s="88">
        <f t="shared" si="62"/>
        <v>408803261</v>
      </c>
    </row>
    <row r="337" spans="1:17" s="169" customFormat="1" ht="41.25" customHeight="1" hidden="1">
      <c r="A337" s="170" t="s">
        <v>391</v>
      </c>
      <c r="B337" s="171" t="s">
        <v>54</v>
      </c>
      <c r="C337" s="170" t="s">
        <v>985</v>
      </c>
      <c r="D337" s="170" t="s">
        <v>577</v>
      </c>
      <c r="E337" s="178" t="s">
        <v>853</v>
      </c>
      <c r="F337" s="173">
        <f t="shared" si="60"/>
        <v>407782812</v>
      </c>
      <c r="G337" s="173">
        <f>400000000+29607232-22400000-30000000+123504+72600+1791117-10978885+864065+274776+29520563+5407840+3500000</f>
        <v>407782812</v>
      </c>
      <c r="H337" s="173"/>
      <c r="I337" s="173"/>
      <c r="J337" s="173"/>
      <c r="K337" s="173">
        <f t="shared" si="61"/>
        <v>645046</v>
      </c>
      <c r="L337" s="173"/>
      <c r="M337" s="173"/>
      <c r="N337" s="173"/>
      <c r="O337" s="173">
        <f>P337</f>
        <v>645046</v>
      </c>
      <c r="P337" s="173">
        <f>165396+391526+88124</f>
        <v>645046</v>
      </c>
      <c r="Q337" s="173">
        <f t="shared" si="62"/>
        <v>408427858</v>
      </c>
    </row>
    <row r="338" spans="1:17" s="169" customFormat="1" ht="38.25" hidden="1">
      <c r="A338" s="170"/>
      <c r="B338" s="171"/>
      <c r="C338" s="170"/>
      <c r="D338" s="170"/>
      <c r="E338" s="178" t="s">
        <v>1144</v>
      </c>
      <c r="F338" s="173">
        <f t="shared" si="60"/>
        <v>0</v>
      </c>
      <c r="G338" s="173"/>
      <c r="H338" s="173"/>
      <c r="I338" s="173"/>
      <c r="J338" s="173"/>
      <c r="K338" s="173"/>
      <c r="L338" s="173"/>
      <c r="M338" s="173"/>
      <c r="N338" s="173"/>
      <c r="O338" s="173"/>
      <c r="P338" s="173"/>
      <c r="Q338" s="173"/>
    </row>
    <row r="339" spans="1:17" s="169" customFormat="1" ht="12.75" hidden="1">
      <c r="A339" s="170"/>
      <c r="B339" s="171"/>
      <c r="C339" s="170"/>
      <c r="D339" s="170"/>
      <c r="E339" s="178" t="s">
        <v>1143</v>
      </c>
      <c r="F339" s="173">
        <f t="shared" si="60"/>
        <v>0</v>
      </c>
      <c r="G339" s="173"/>
      <c r="H339" s="173"/>
      <c r="I339" s="173"/>
      <c r="J339" s="173"/>
      <c r="K339" s="173"/>
      <c r="L339" s="173"/>
      <c r="M339" s="173"/>
      <c r="N339" s="173"/>
      <c r="O339" s="173"/>
      <c r="P339" s="173"/>
      <c r="Q339" s="173"/>
    </row>
    <row r="340" spans="1:17" s="169" customFormat="1" ht="52.5" customHeight="1" hidden="1">
      <c r="A340" s="170" t="s">
        <v>435</v>
      </c>
      <c r="B340" s="171" t="s">
        <v>54</v>
      </c>
      <c r="C340" s="170" t="s">
        <v>988</v>
      </c>
      <c r="D340" s="182" t="s">
        <v>577</v>
      </c>
      <c r="E340" s="178" t="s">
        <v>332</v>
      </c>
      <c r="F340" s="173">
        <f t="shared" si="60"/>
        <v>375403</v>
      </c>
      <c r="G340" s="173">
        <f>375403</f>
        <v>375403</v>
      </c>
      <c r="H340" s="173"/>
      <c r="I340" s="173"/>
      <c r="J340" s="173"/>
      <c r="K340" s="173">
        <f t="shared" si="61"/>
        <v>0</v>
      </c>
      <c r="L340" s="173"/>
      <c r="M340" s="173"/>
      <c r="N340" s="173"/>
      <c r="O340" s="173"/>
      <c r="P340" s="173"/>
      <c r="Q340" s="173">
        <f t="shared" si="62"/>
        <v>375403</v>
      </c>
    </row>
    <row r="341" spans="1:17" ht="12.75">
      <c r="A341" s="112" t="s">
        <v>905</v>
      </c>
      <c r="B341" s="112" t="s">
        <v>98</v>
      </c>
      <c r="C341" s="112" t="s">
        <v>1015</v>
      </c>
      <c r="D341" s="112"/>
      <c r="E341" s="122" t="s">
        <v>99</v>
      </c>
      <c r="F341" s="27">
        <f>G341+J341</f>
        <v>0</v>
      </c>
      <c r="G341" s="114">
        <f>G342</f>
        <v>0</v>
      </c>
      <c r="H341" s="114">
        <f>H342</f>
        <v>0</v>
      </c>
      <c r="I341" s="114">
        <f>I342</f>
        <v>0</v>
      </c>
      <c r="J341" s="114">
        <f>J342</f>
        <v>0</v>
      </c>
      <c r="K341" s="27">
        <f>L341+O341</f>
        <v>50000</v>
      </c>
      <c r="L341" s="114">
        <f>L342</f>
        <v>0</v>
      </c>
      <c r="M341" s="114">
        <f>M342</f>
        <v>0</v>
      </c>
      <c r="N341" s="114">
        <f>N342</f>
        <v>0</v>
      </c>
      <c r="O341" s="114">
        <f>O342</f>
        <v>50000</v>
      </c>
      <c r="P341" s="114">
        <f>P342</f>
        <v>0</v>
      </c>
      <c r="Q341" s="27">
        <f>F341+K341</f>
        <v>50000</v>
      </c>
    </row>
    <row r="342" spans="1:17" ht="25.5">
      <c r="A342" s="50" t="s">
        <v>906</v>
      </c>
      <c r="B342" s="28" t="s">
        <v>86</v>
      </c>
      <c r="C342" s="50" t="s">
        <v>1016</v>
      </c>
      <c r="D342" s="50" t="s">
        <v>587</v>
      </c>
      <c r="E342" s="25" t="s">
        <v>93</v>
      </c>
      <c r="F342" s="27">
        <f>G342+J342</f>
        <v>0</v>
      </c>
      <c r="G342" s="27"/>
      <c r="H342" s="27"/>
      <c r="I342" s="27"/>
      <c r="J342" s="27"/>
      <c r="K342" s="27">
        <f>L342+O342</f>
        <v>50000</v>
      </c>
      <c r="L342" s="27"/>
      <c r="M342" s="27"/>
      <c r="N342" s="27"/>
      <c r="O342" s="27">
        <v>50000</v>
      </c>
      <c r="P342" s="27"/>
      <c r="Q342" s="27">
        <f>F342+K342</f>
        <v>50000</v>
      </c>
    </row>
    <row r="343" spans="1:20" ht="40.5" customHeight="1">
      <c r="A343" s="62" t="s">
        <v>800</v>
      </c>
      <c r="B343" s="62" t="s">
        <v>799</v>
      </c>
      <c r="C343" s="62" t="s">
        <v>799</v>
      </c>
      <c r="D343" s="62"/>
      <c r="E343" s="61" t="s">
        <v>812</v>
      </c>
      <c r="F343" s="39">
        <f>G343+J343</f>
        <v>545533671</v>
      </c>
      <c r="G343" s="39">
        <f>G344</f>
        <v>545533671</v>
      </c>
      <c r="H343" s="39">
        <f>H344</f>
        <v>3113571</v>
      </c>
      <c r="I343" s="39">
        <f>I344</f>
        <v>123407</v>
      </c>
      <c r="J343" s="39">
        <f>J344</f>
        <v>0</v>
      </c>
      <c r="K343" s="39">
        <f>L343+O343</f>
        <v>306623160</v>
      </c>
      <c r="L343" s="39">
        <f>L344</f>
        <v>0</v>
      </c>
      <c r="M343" s="39">
        <f>M344</f>
        <v>0</v>
      </c>
      <c r="N343" s="39">
        <f>N344</f>
        <v>0</v>
      </c>
      <c r="O343" s="39">
        <f>O344</f>
        <v>306623160</v>
      </c>
      <c r="P343" s="39">
        <f>P344</f>
        <v>296698160</v>
      </c>
      <c r="Q343" s="40">
        <f>F343+K343</f>
        <v>852156831</v>
      </c>
      <c r="R343" s="164"/>
      <c r="T343" s="164">
        <f>S343-R343</f>
        <v>0</v>
      </c>
    </row>
    <row r="344" spans="1:17" ht="38.25">
      <c r="A344" s="59" t="s">
        <v>801</v>
      </c>
      <c r="B344" s="31"/>
      <c r="C344" s="31"/>
      <c r="D344" s="31"/>
      <c r="E344" s="51" t="s">
        <v>804</v>
      </c>
      <c r="F344" s="26">
        <f>G344+J344</f>
        <v>545533671</v>
      </c>
      <c r="G344" s="26">
        <f>G345+G347+G352+G354+G357+G359+G361+G363+G368</f>
        <v>545533671</v>
      </c>
      <c r="H344" s="26">
        <f>H345+H347+H352+H354+H357+H359+H361+H363+H368</f>
        <v>3113571</v>
      </c>
      <c r="I344" s="26">
        <f>I345+I347+I352+I354+I357+I359+I361+I363+I368</f>
        <v>123407</v>
      </c>
      <c r="J344" s="26">
        <f>J345+J347+J352+J354+J357+J359+J361+J363+J368</f>
        <v>0</v>
      </c>
      <c r="K344" s="26">
        <f>L344+O344</f>
        <v>306623160</v>
      </c>
      <c r="L344" s="26">
        <f>L345+L347+L352+L354+L357+L359+L361+L363+L368</f>
        <v>0</v>
      </c>
      <c r="M344" s="26">
        <f>M345+M347+M352+M354+M357+M359+M361+M363+M368</f>
        <v>0</v>
      </c>
      <c r="N344" s="26">
        <f>N345+N347+N352+N354+N357+N359+N361+N363+N368</f>
        <v>0</v>
      </c>
      <c r="O344" s="26">
        <f>O345+O347+O352+O354+O357+O359+O361+O363+O368</f>
        <v>306623160</v>
      </c>
      <c r="P344" s="26">
        <f>P345+P347+P352+P354+P357+P359+P361+P363+P368</f>
        <v>296698160</v>
      </c>
      <c r="Q344" s="26">
        <f>F344+K344</f>
        <v>852156831</v>
      </c>
    </row>
    <row r="345" spans="1:18" ht="12.75">
      <c r="A345" s="112" t="s">
        <v>802</v>
      </c>
      <c r="B345" s="111" t="s">
        <v>671</v>
      </c>
      <c r="C345" s="111" t="s">
        <v>972</v>
      </c>
      <c r="D345" s="111"/>
      <c r="E345" s="127" t="s">
        <v>673</v>
      </c>
      <c r="F345" s="26">
        <f aca="true" t="shared" si="65" ref="F345:F367">G345+J345</f>
        <v>5063530</v>
      </c>
      <c r="G345" s="123">
        <f>G346</f>
        <v>5063530</v>
      </c>
      <c r="H345" s="123">
        <f>H346</f>
        <v>3113571</v>
      </c>
      <c r="I345" s="123">
        <f>I346</f>
        <v>123407</v>
      </c>
      <c r="J345" s="123">
        <f>J346</f>
        <v>0</v>
      </c>
      <c r="K345" s="26">
        <f aca="true" t="shared" si="66" ref="K345:K367">L345+O345</f>
        <v>1204178</v>
      </c>
      <c r="L345" s="123">
        <f>L346</f>
        <v>0</v>
      </c>
      <c r="M345" s="123">
        <f>M346</f>
        <v>0</v>
      </c>
      <c r="N345" s="123">
        <f>N346</f>
        <v>0</v>
      </c>
      <c r="O345" s="123">
        <f>O346</f>
        <v>1204178</v>
      </c>
      <c r="P345" s="123">
        <f>P346</f>
        <v>1204178</v>
      </c>
      <c r="Q345" s="26">
        <f aca="true" t="shared" si="67" ref="Q345:Q367">F345+K345</f>
        <v>6267708</v>
      </c>
      <c r="R345" s="164"/>
    </row>
    <row r="346" spans="1:20" ht="27.75" customHeight="1">
      <c r="A346" s="50" t="s">
        <v>803</v>
      </c>
      <c r="B346" s="28" t="s">
        <v>33</v>
      </c>
      <c r="C346" s="50" t="s">
        <v>613</v>
      </c>
      <c r="D346" s="50" t="s">
        <v>574</v>
      </c>
      <c r="E346" s="51" t="s">
        <v>863</v>
      </c>
      <c r="F346" s="26">
        <f t="shared" si="65"/>
        <v>5063530</v>
      </c>
      <c r="G346" s="27">
        <f>3684244+(1094306)+194641-397144-147966+625104+10345</f>
        <v>5063530</v>
      </c>
      <c r="H346" s="27">
        <f>2606052+499040+8479</f>
        <v>3113571</v>
      </c>
      <c r="I346" s="27">
        <v>123407</v>
      </c>
      <c r="J346" s="27"/>
      <c r="K346" s="26">
        <f t="shared" si="66"/>
        <v>1204178</v>
      </c>
      <c r="L346" s="27"/>
      <c r="M346" s="27"/>
      <c r="N346" s="27"/>
      <c r="O346" s="27">
        <f>P346</f>
        <v>1204178</v>
      </c>
      <c r="P346" s="27">
        <f>350000+397144+457034</f>
        <v>1204178</v>
      </c>
      <c r="Q346" s="26">
        <f t="shared" si="67"/>
        <v>6267708</v>
      </c>
      <c r="T346" s="33">
        <v>758428468</v>
      </c>
    </row>
    <row r="347" spans="1:17" ht="26.25" customHeight="1">
      <c r="A347" s="112" t="s">
        <v>814</v>
      </c>
      <c r="B347" s="112" t="s">
        <v>623</v>
      </c>
      <c r="C347" s="112" t="s">
        <v>1104</v>
      </c>
      <c r="D347" s="112"/>
      <c r="E347" s="113" t="s">
        <v>625</v>
      </c>
      <c r="F347" s="26">
        <f t="shared" si="65"/>
        <v>343000</v>
      </c>
      <c r="G347" s="114">
        <f>G348+G349</f>
        <v>343000</v>
      </c>
      <c r="H347" s="114">
        <f>H348+H349</f>
        <v>0</v>
      </c>
      <c r="I347" s="114">
        <f>I348+I349</f>
        <v>0</v>
      </c>
      <c r="J347" s="114">
        <f>J348+J349</f>
        <v>0</v>
      </c>
      <c r="K347" s="26">
        <f t="shared" si="66"/>
        <v>0</v>
      </c>
      <c r="L347" s="114">
        <f>L348+L349</f>
        <v>0</v>
      </c>
      <c r="M347" s="114">
        <f>M348+M349</f>
        <v>0</v>
      </c>
      <c r="N347" s="114">
        <f>N348+N349</f>
        <v>0</v>
      </c>
      <c r="O347" s="114">
        <f>O348+O349</f>
        <v>0</v>
      </c>
      <c r="P347" s="114">
        <f>P348+P349</f>
        <v>0</v>
      </c>
      <c r="Q347" s="26">
        <f t="shared" si="67"/>
        <v>343000</v>
      </c>
    </row>
    <row r="348" spans="1:17" ht="30" customHeight="1" hidden="1">
      <c r="A348" s="50" t="s">
        <v>870</v>
      </c>
      <c r="B348" s="50" t="s">
        <v>784</v>
      </c>
      <c r="C348" s="50" t="s">
        <v>1006</v>
      </c>
      <c r="D348" s="50" t="s">
        <v>786</v>
      </c>
      <c r="E348" s="48" t="s">
        <v>785</v>
      </c>
      <c r="F348" s="26">
        <f>G348+J348</f>
        <v>0</v>
      </c>
      <c r="G348" s="27"/>
      <c r="H348" s="27"/>
      <c r="I348" s="27"/>
      <c r="J348" s="27"/>
      <c r="K348" s="26">
        <f>L348+O348</f>
        <v>0</v>
      </c>
      <c r="L348" s="27"/>
      <c r="M348" s="27"/>
      <c r="N348" s="27"/>
      <c r="O348" s="27"/>
      <c r="P348" s="27"/>
      <c r="Q348" s="26">
        <f>F348+K348</f>
        <v>0</v>
      </c>
    </row>
    <row r="349" spans="1:20" ht="26.25" customHeight="1">
      <c r="A349" s="85" t="s">
        <v>815</v>
      </c>
      <c r="B349" s="85" t="s">
        <v>46</v>
      </c>
      <c r="C349" s="85" t="s">
        <v>1074</v>
      </c>
      <c r="D349" s="85" t="s">
        <v>598</v>
      </c>
      <c r="E349" s="96" t="s">
        <v>326</v>
      </c>
      <c r="F349" s="88">
        <f t="shared" si="65"/>
        <v>343000</v>
      </c>
      <c r="G349" s="88">
        <f>G350+G351</f>
        <v>343000</v>
      </c>
      <c r="H349" s="88">
        <f>H350+H351</f>
        <v>0</v>
      </c>
      <c r="I349" s="88">
        <f>I350+I351</f>
        <v>0</v>
      </c>
      <c r="J349" s="88">
        <f>J350+J351</f>
        <v>0</v>
      </c>
      <c r="K349" s="26">
        <f t="shared" si="66"/>
        <v>0</v>
      </c>
      <c r="L349" s="88">
        <f>L350+L351</f>
        <v>0</v>
      </c>
      <c r="M349" s="88">
        <f>M350+M351</f>
        <v>0</v>
      </c>
      <c r="N349" s="88">
        <f>N350+N351</f>
        <v>0</v>
      </c>
      <c r="O349" s="88">
        <f>O350+O351</f>
        <v>0</v>
      </c>
      <c r="P349" s="88">
        <f>P350+P351</f>
        <v>0</v>
      </c>
      <c r="Q349" s="88">
        <f t="shared" si="67"/>
        <v>343000</v>
      </c>
      <c r="T349" s="164">
        <f>Q343-Q346</f>
        <v>845889123</v>
      </c>
    </row>
    <row r="350" spans="1:17" s="169" customFormat="1" ht="38.25" hidden="1">
      <c r="A350" s="170" t="s">
        <v>912</v>
      </c>
      <c r="B350" s="171" t="s">
        <v>46</v>
      </c>
      <c r="C350" s="170" t="s">
        <v>1075</v>
      </c>
      <c r="D350" s="170"/>
      <c r="E350" s="172" t="s">
        <v>490</v>
      </c>
      <c r="F350" s="173">
        <f>G350+J350</f>
        <v>0</v>
      </c>
      <c r="G350" s="173"/>
      <c r="H350" s="173"/>
      <c r="I350" s="173"/>
      <c r="J350" s="173"/>
      <c r="K350" s="173">
        <f>L350+O350</f>
        <v>0</v>
      </c>
      <c r="L350" s="173"/>
      <c r="M350" s="173"/>
      <c r="N350" s="173"/>
      <c r="O350" s="173"/>
      <c r="P350" s="173"/>
      <c r="Q350" s="173">
        <f>F350+K350</f>
        <v>0</v>
      </c>
    </row>
    <row r="351" spans="1:17" s="169" customFormat="1" ht="12.75" hidden="1">
      <c r="A351" s="170" t="s">
        <v>816</v>
      </c>
      <c r="B351" s="171" t="s">
        <v>46</v>
      </c>
      <c r="C351" s="170" t="s">
        <v>1105</v>
      </c>
      <c r="D351" s="170" t="s">
        <v>598</v>
      </c>
      <c r="E351" s="172" t="s">
        <v>517</v>
      </c>
      <c r="F351" s="173">
        <f t="shared" si="65"/>
        <v>343000</v>
      </c>
      <c r="G351" s="173">
        <f>295000+48000</f>
        <v>343000</v>
      </c>
      <c r="H351" s="173"/>
      <c r="I351" s="173"/>
      <c r="J351" s="173"/>
      <c r="K351" s="173">
        <f t="shared" si="66"/>
        <v>0</v>
      </c>
      <c r="L351" s="173"/>
      <c r="M351" s="173"/>
      <c r="N351" s="173"/>
      <c r="O351" s="173"/>
      <c r="P351" s="173"/>
      <c r="Q351" s="173">
        <f t="shared" si="67"/>
        <v>343000</v>
      </c>
    </row>
    <row r="352" spans="1:18" ht="12.75">
      <c r="A352" s="112" t="s">
        <v>817</v>
      </c>
      <c r="B352" s="112" t="s">
        <v>663</v>
      </c>
      <c r="C352" s="112" t="s">
        <v>1094</v>
      </c>
      <c r="D352" s="112"/>
      <c r="E352" s="127" t="s">
        <v>665</v>
      </c>
      <c r="F352" s="26">
        <f t="shared" si="65"/>
        <v>152211759</v>
      </c>
      <c r="G352" s="114">
        <f>G353</f>
        <v>152211759</v>
      </c>
      <c r="H352" s="114">
        <f>H353</f>
        <v>0</v>
      </c>
      <c r="I352" s="114">
        <f>I353</f>
        <v>0</v>
      </c>
      <c r="J352" s="114">
        <f>J353</f>
        <v>0</v>
      </c>
      <c r="K352" s="26">
        <f t="shared" si="66"/>
        <v>8129634</v>
      </c>
      <c r="L352" s="114">
        <f>L353</f>
        <v>0</v>
      </c>
      <c r="M352" s="114">
        <f>M353</f>
        <v>0</v>
      </c>
      <c r="N352" s="114">
        <f>N353</f>
        <v>0</v>
      </c>
      <c r="O352" s="114">
        <f>O353</f>
        <v>8129634</v>
      </c>
      <c r="P352" s="114">
        <f>P353</f>
        <v>8129634</v>
      </c>
      <c r="Q352" s="26">
        <f t="shared" si="67"/>
        <v>160341393</v>
      </c>
      <c r="R352" s="164"/>
    </row>
    <row r="353" spans="1:18" ht="15" customHeight="1">
      <c r="A353" s="112" t="s">
        <v>818</v>
      </c>
      <c r="B353" s="112" t="s">
        <v>123</v>
      </c>
      <c r="C353" s="112" t="s">
        <v>1106</v>
      </c>
      <c r="D353" s="112" t="s">
        <v>607</v>
      </c>
      <c r="E353" s="115" t="s">
        <v>125</v>
      </c>
      <c r="F353" s="114">
        <f t="shared" si="65"/>
        <v>152211759</v>
      </c>
      <c r="G353" s="114">
        <f>115449432+936695+270000+(22232)-565000+528453+(22000)+(46200)-270000+23388112-487861+420000+175000+(12200)+12264296</f>
        <v>152211759</v>
      </c>
      <c r="H353" s="114"/>
      <c r="I353" s="114"/>
      <c r="J353" s="114"/>
      <c r="K353" s="26">
        <f t="shared" si="66"/>
        <v>8129634</v>
      </c>
      <c r="L353" s="114"/>
      <c r="M353" s="114"/>
      <c r="N353" s="114"/>
      <c r="O353" s="114">
        <f>P353</f>
        <v>8129634</v>
      </c>
      <c r="P353" s="114">
        <f>6160729+((280000))-800000-280000+3188301+827000-528453+681114-793306+270000+487861+(4002)-700000+30000-850506-330056+(20000)+32169+330056+100723</f>
        <v>8129634</v>
      </c>
      <c r="Q353" s="26">
        <f t="shared" si="67"/>
        <v>160341393</v>
      </c>
      <c r="R353" s="164"/>
    </row>
    <row r="354" spans="1:20" ht="12.75">
      <c r="A354" s="112" t="s">
        <v>819</v>
      </c>
      <c r="B354" s="112" t="s">
        <v>628</v>
      </c>
      <c r="C354" s="112" t="s">
        <v>1020</v>
      </c>
      <c r="D354" s="112"/>
      <c r="E354" s="115" t="s">
        <v>630</v>
      </c>
      <c r="F354" s="26">
        <f t="shared" si="65"/>
        <v>0</v>
      </c>
      <c r="G354" s="114">
        <f>G355</f>
        <v>0</v>
      </c>
      <c r="H354" s="114">
        <f>H355</f>
        <v>0</v>
      </c>
      <c r="I354" s="114">
        <f>I355</f>
        <v>0</v>
      </c>
      <c r="J354" s="114">
        <f>J355</f>
        <v>0</v>
      </c>
      <c r="K354" s="26">
        <f t="shared" si="66"/>
        <v>109212199</v>
      </c>
      <c r="L354" s="114">
        <f>L355</f>
        <v>0</v>
      </c>
      <c r="M354" s="114">
        <f>M355</f>
        <v>0</v>
      </c>
      <c r="N354" s="114">
        <f>N355</f>
        <v>0</v>
      </c>
      <c r="O354" s="114">
        <f>O355</f>
        <v>109212199</v>
      </c>
      <c r="P354" s="114">
        <f>P355</f>
        <v>109212199</v>
      </c>
      <c r="Q354" s="26">
        <f t="shared" si="67"/>
        <v>109212199</v>
      </c>
      <c r="T354" s="164">
        <f>T349-T346</f>
        <v>87460655</v>
      </c>
    </row>
    <row r="355" spans="1:18" ht="25.5">
      <c r="A355" s="50" t="s">
        <v>820</v>
      </c>
      <c r="B355" s="28" t="s">
        <v>87</v>
      </c>
      <c r="C355" s="50" t="s">
        <v>980</v>
      </c>
      <c r="D355" s="50" t="s">
        <v>576</v>
      </c>
      <c r="E355" s="48" t="s">
        <v>174</v>
      </c>
      <c r="F355" s="26">
        <f t="shared" si="65"/>
        <v>0</v>
      </c>
      <c r="G355" s="27"/>
      <c r="H355" s="27"/>
      <c r="I355" s="27"/>
      <c r="J355" s="27"/>
      <c r="K355" s="26">
        <f t="shared" si="66"/>
        <v>109212199</v>
      </c>
      <c r="L355" s="27"/>
      <c r="M355" s="27"/>
      <c r="N355" s="27"/>
      <c r="O355" s="27">
        <f>P355</f>
        <v>109212199</v>
      </c>
      <c r="P355" s="27">
        <f>103430612+((877500))+31462-124457-877500+984893+136166-1874425-8836867+602089-404+877487-2450000-209076+140000+11723069+828175+4661709+24318-116338-266077-108623-29861+19239+330056-32169-330056-198723</f>
        <v>109212199</v>
      </c>
      <c r="Q355" s="26">
        <f t="shared" si="67"/>
        <v>109212199</v>
      </c>
      <c r="R355" s="164"/>
    </row>
    <row r="356" spans="1:18" ht="63.75">
      <c r="A356" s="50"/>
      <c r="B356" s="28"/>
      <c r="C356" s="50"/>
      <c r="D356" s="50"/>
      <c r="E356" s="202" t="s">
        <v>865</v>
      </c>
      <c r="F356" s="26"/>
      <c r="G356" s="27"/>
      <c r="H356" s="27"/>
      <c r="I356" s="27"/>
      <c r="J356" s="27"/>
      <c r="K356" s="26">
        <f t="shared" si="66"/>
        <v>2600000</v>
      </c>
      <c r="L356" s="27"/>
      <c r="M356" s="27"/>
      <c r="N356" s="27"/>
      <c r="O356" s="27">
        <f>P356</f>
        <v>2600000</v>
      </c>
      <c r="P356" s="27">
        <v>2600000</v>
      </c>
      <c r="Q356" s="26">
        <f t="shared" si="67"/>
        <v>2600000</v>
      </c>
      <c r="R356" s="164"/>
    </row>
    <row r="357" spans="1:17" ht="25.5" customHeight="1">
      <c r="A357" s="112" t="s">
        <v>821</v>
      </c>
      <c r="B357" s="112" t="s">
        <v>643</v>
      </c>
      <c r="C357" s="112" t="s">
        <v>1107</v>
      </c>
      <c r="D357" s="112"/>
      <c r="E357" s="113" t="s">
        <v>669</v>
      </c>
      <c r="F357" s="26">
        <f t="shared" si="65"/>
        <v>386288666</v>
      </c>
      <c r="G357" s="114">
        <f>G358</f>
        <v>386288666</v>
      </c>
      <c r="H357" s="114">
        <f>H358</f>
        <v>0</v>
      </c>
      <c r="I357" s="114">
        <f>I358</f>
        <v>0</v>
      </c>
      <c r="J357" s="114">
        <f>J358</f>
        <v>0</v>
      </c>
      <c r="K357" s="26">
        <f t="shared" si="66"/>
        <v>159709633</v>
      </c>
      <c r="L357" s="114">
        <f>L358</f>
        <v>0</v>
      </c>
      <c r="M357" s="114">
        <f>M358</f>
        <v>0</v>
      </c>
      <c r="N357" s="114">
        <f>N358</f>
        <v>0</v>
      </c>
      <c r="O357" s="114">
        <f>O358</f>
        <v>159709633</v>
      </c>
      <c r="P357" s="114">
        <f>P358</f>
        <v>159709633</v>
      </c>
      <c r="Q357" s="26">
        <f t="shared" si="67"/>
        <v>545998299</v>
      </c>
    </row>
    <row r="358" spans="1:17" ht="25.5" customHeight="1">
      <c r="A358" s="50" t="s">
        <v>822</v>
      </c>
      <c r="B358" s="28">
        <v>170703</v>
      </c>
      <c r="C358" s="50" t="s">
        <v>1108</v>
      </c>
      <c r="D358" s="50" t="s">
        <v>608</v>
      </c>
      <c r="E358" s="48" t="s">
        <v>432</v>
      </c>
      <c r="F358" s="26">
        <f t="shared" si="65"/>
        <v>386288666</v>
      </c>
      <c r="G358" s="27">
        <f>274027093-5683925-771700+29885346+95280042-6546190+98000</f>
        <v>386288666</v>
      </c>
      <c r="H358" s="27"/>
      <c r="I358" s="27"/>
      <c r="J358" s="27"/>
      <c r="K358" s="26">
        <f t="shared" si="66"/>
        <v>159709633</v>
      </c>
      <c r="L358" s="27"/>
      <c r="M358" s="27"/>
      <c r="N358" s="27"/>
      <c r="O358" s="27">
        <f>P358</f>
        <v>159709633</v>
      </c>
      <c r="P358" s="27">
        <f>192147458+987450-508360-66674-8073731-31462-2600000-70184+6927042-6835578-887891-19200000+19000000-179741-18977342-2398696+477342</f>
        <v>159709633</v>
      </c>
      <c r="Q358" s="26">
        <f t="shared" si="67"/>
        <v>545998299</v>
      </c>
    </row>
    <row r="359" spans="1:18" ht="25.5" customHeight="1">
      <c r="A359" s="112" t="s">
        <v>823</v>
      </c>
      <c r="B359" s="112" t="s">
        <v>617</v>
      </c>
      <c r="C359" s="112" t="s">
        <v>1091</v>
      </c>
      <c r="D359" s="112"/>
      <c r="E359" s="115" t="s">
        <v>619</v>
      </c>
      <c r="F359" s="26">
        <f t="shared" si="65"/>
        <v>0</v>
      </c>
      <c r="G359" s="114">
        <f>G360</f>
        <v>0</v>
      </c>
      <c r="H359" s="114">
        <f>H360</f>
        <v>0</v>
      </c>
      <c r="I359" s="114">
        <f>I360</f>
        <v>0</v>
      </c>
      <c r="J359" s="114">
        <f>J360</f>
        <v>0</v>
      </c>
      <c r="K359" s="26">
        <f t="shared" si="66"/>
        <v>18442516</v>
      </c>
      <c r="L359" s="114">
        <f>L360</f>
        <v>0</v>
      </c>
      <c r="M359" s="114">
        <f>M360</f>
        <v>0</v>
      </c>
      <c r="N359" s="114">
        <f>N360</f>
        <v>0</v>
      </c>
      <c r="O359" s="114">
        <f>O360</f>
        <v>18442516</v>
      </c>
      <c r="P359" s="114">
        <f>P360</f>
        <v>18442516</v>
      </c>
      <c r="Q359" s="26">
        <f t="shared" si="67"/>
        <v>18442516</v>
      </c>
      <c r="R359" s="164"/>
    </row>
    <row r="360" spans="1:17" ht="29.25" customHeight="1">
      <c r="A360" s="50" t="s">
        <v>824</v>
      </c>
      <c r="B360" s="28" t="s">
        <v>95</v>
      </c>
      <c r="C360" s="50" t="s">
        <v>982</v>
      </c>
      <c r="D360" s="50" t="s">
        <v>576</v>
      </c>
      <c r="E360" s="48" t="s">
        <v>259</v>
      </c>
      <c r="F360" s="26">
        <f t="shared" si="65"/>
        <v>0</v>
      </c>
      <c r="G360" s="27"/>
      <c r="H360" s="27"/>
      <c r="I360" s="27"/>
      <c r="J360" s="27"/>
      <c r="K360" s="26">
        <f t="shared" si="66"/>
        <v>18442516</v>
      </c>
      <c r="L360" s="27"/>
      <c r="M360" s="27"/>
      <c r="N360" s="27"/>
      <c r="O360" s="27">
        <f>P360</f>
        <v>18442516</v>
      </c>
      <c r="P360" s="27">
        <f>10000000+2600000+1298604+254762+440000-17+3849167</f>
        <v>18442516</v>
      </c>
      <c r="Q360" s="26">
        <f t="shared" si="67"/>
        <v>18442516</v>
      </c>
    </row>
    <row r="361" spans="1:17" ht="12.75" hidden="1">
      <c r="A361" s="106" t="s">
        <v>910</v>
      </c>
      <c r="B361" s="106" t="s">
        <v>527</v>
      </c>
      <c r="C361" s="106" t="s">
        <v>1011</v>
      </c>
      <c r="D361" s="106"/>
      <c r="E361" s="107" t="s">
        <v>528</v>
      </c>
      <c r="F361" s="26">
        <f t="shared" si="65"/>
        <v>0</v>
      </c>
      <c r="G361" s="105">
        <f>G362</f>
        <v>0</v>
      </c>
      <c r="H361" s="105">
        <f>H362</f>
        <v>0</v>
      </c>
      <c r="I361" s="105">
        <f>I362</f>
        <v>0</v>
      </c>
      <c r="J361" s="105">
        <f>J362</f>
        <v>0</v>
      </c>
      <c r="K361" s="26">
        <f t="shared" si="66"/>
        <v>0</v>
      </c>
      <c r="L361" s="105">
        <f>L362</f>
        <v>0</v>
      </c>
      <c r="M361" s="105">
        <f>M362</f>
        <v>0</v>
      </c>
      <c r="N361" s="105">
        <f>N362</f>
        <v>0</v>
      </c>
      <c r="O361" s="105">
        <f>O362</f>
        <v>0</v>
      </c>
      <c r="P361" s="105">
        <f>P362</f>
        <v>0</v>
      </c>
      <c r="Q361" s="26">
        <f t="shared" si="67"/>
        <v>0</v>
      </c>
    </row>
    <row r="362" spans="1:17" ht="12.75" hidden="1">
      <c r="A362" s="50" t="s">
        <v>911</v>
      </c>
      <c r="B362" s="50" t="s">
        <v>527</v>
      </c>
      <c r="C362" s="50" t="s">
        <v>1012</v>
      </c>
      <c r="D362" s="50" t="s">
        <v>586</v>
      </c>
      <c r="E362" s="83" t="s">
        <v>568</v>
      </c>
      <c r="F362" s="26">
        <f t="shared" si="65"/>
        <v>0</v>
      </c>
      <c r="G362" s="27"/>
      <c r="H362" s="27"/>
      <c r="I362" s="27"/>
      <c r="J362" s="27"/>
      <c r="K362" s="26">
        <f t="shared" si="66"/>
        <v>0</v>
      </c>
      <c r="L362" s="27"/>
      <c r="M362" s="27"/>
      <c r="N362" s="27"/>
      <c r="O362" s="27"/>
      <c r="P362" s="27"/>
      <c r="Q362" s="26">
        <f t="shared" si="67"/>
        <v>0</v>
      </c>
    </row>
    <row r="363" spans="1:18" ht="25.5">
      <c r="A363" s="112" t="s">
        <v>827</v>
      </c>
      <c r="B363" s="112" t="s">
        <v>634</v>
      </c>
      <c r="C363" s="112" t="s">
        <v>1021</v>
      </c>
      <c r="D363" s="112"/>
      <c r="E363" s="115" t="s">
        <v>635</v>
      </c>
      <c r="F363" s="26">
        <f t="shared" si="65"/>
        <v>1626716</v>
      </c>
      <c r="G363" s="114">
        <f>G364</f>
        <v>1626716</v>
      </c>
      <c r="H363" s="114">
        <f>H364</f>
        <v>0</v>
      </c>
      <c r="I363" s="114">
        <f>I364</f>
        <v>0</v>
      </c>
      <c r="J363" s="114">
        <f>J364</f>
        <v>0</v>
      </c>
      <c r="K363" s="26">
        <f t="shared" si="66"/>
        <v>0</v>
      </c>
      <c r="L363" s="114">
        <f>L364</f>
        <v>0</v>
      </c>
      <c r="M363" s="114">
        <f>M364</f>
        <v>0</v>
      </c>
      <c r="N363" s="114">
        <f>N364</f>
        <v>0</v>
      </c>
      <c r="O363" s="114">
        <f>O364</f>
        <v>0</v>
      </c>
      <c r="P363" s="114">
        <f>P364</f>
        <v>0</v>
      </c>
      <c r="Q363" s="26">
        <f t="shared" si="67"/>
        <v>1626716</v>
      </c>
      <c r="R363" s="164"/>
    </row>
    <row r="364" spans="1:17" ht="12.75">
      <c r="A364" s="85" t="s">
        <v>828</v>
      </c>
      <c r="B364" s="85" t="s">
        <v>54</v>
      </c>
      <c r="C364" s="85" t="s">
        <v>1093</v>
      </c>
      <c r="D364" s="85" t="s">
        <v>577</v>
      </c>
      <c r="E364" s="87" t="s">
        <v>416</v>
      </c>
      <c r="F364" s="88">
        <f>G364+J364</f>
        <v>1626716</v>
      </c>
      <c r="G364" s="88">
        <f>G365+G367+G366</f>
        <v>1626716</v>
      </c>
      <c r="H364" s="88">
        <f>H365+H367+H366</f>
        <v>0</v>
      </c>
      <c r="I364" s="88">
        <f>I365+I367+I366</f>
        <v>0</v>
      </c>
      <c r="J364" s="88">
        <f>J365+J367+J366</f>
        <v>0</v>
      </c>
      <c r="K364" s="26">
        <f>L364+O364+K366</f>
        <v>0</v>
      </c>
      <c r="L364" s="88">
        <f>L365+L367+L366</f>
        <v>0</v>
      </c>
      <c r="M364" s="88">
        <f>M365+M367+M366</f>
        <v>0</v>
      </c>
      <c r="N364" s="88">
        <f>N365+N367+N366</f>
        <v>0</v>
      </c>
      <c r="O364" s="88">
        <f>O365+O367+O366</f>
        <v>0</v>
      </c>
      <c r="P364" s="88">
        <f>P365+P367+P366</f>
        <v>0</v>
      </c>
      <c r="Q364" s="88">
        <f t="shared" si="67"/>
        <v>1626716</v>
      </c>
    </row>
    <row r="365" spans="1:17" s="169" customFormat="1" ht="51" hidden="1">
      <c r="A365" s="170" t="s">
        <v>829</v>
      </c>
      <c r="B365" s="171" t="s">
        <v>54</v>
      </c>
      <c r="C365" s="170" t="s">
        <v>989</v>
      </c>
      <c r="D365" s="170" t="s">
        <v>577</v>
      </c>
      <c r="E365" s="178" t="s">
        <v>331</v>
      </c>
      <c r="F365" s="173">
        <f t="shared" si="65"/>
        <v>919716</v>
      </c>
      <c r="G365" s="173">
        <f>534916+384800</f>
        <v>919716</v>
      </c>
      <c r="H365" s="173"/>
      <c r="I365" s="173"/>
      <c r="J365" s="173"/>
      <c r="K365" s="173">
        <f t="shared" si="66"/>
        <v>0</v>
      </c>
      <c r="L365" s="173"/>
      <c r="M365" s="173"/>
      <c r="N365" s="173"/>
      <c r="O365" s="173"/>
      <c r="P365" s="173"/>
      <c r="Q365" s="173">
        <f t="shared" si="67"/>
        <v>919716</v>
      </c>
    </row>
    <row r="366" spans="1:17" s="169" customFormat="1" ht="38.25" hidden="1">
      <c r="A366" s="170" t="s">
        <v>1212</v>
      </c>
      <c r="B366" s="171" t="s">
        <v>54</v>
      </c>
      <c r="C366" s="170" t="s">
        <v>985</v>
      </c>
      <c r="D366" s="170" t="s">
        <v>577</v>
      </c>
      <c r="E366" s="178" t="s">
        <v>1144</v>
      </c>
      <c r="F366" s="173">
        <f>G366</f>
        <v>640000</v>
      </c>
      <c r="G366" s="173">
        <f>565000+75000</f>
        <v>640000</v>
      </c>
      <c r="H366" s="173"/>
      <c r="I366" s="173"/>
      <c r="J366" s="173"/>
      <c r="K366" s="173"/>
      <c r="L366" s="173"/>
      <c r="M366" s="173"/>
      <c r="N366" s="173"/>
      <c r="O366" s="173"/>
      <c r="P366" s="173"/>
      <c r="Q366" s="173">
        <f t="shared" si="67"/>
        <v>640000</v>
      </c>
    </row>
    <row r="367" spans="1:17" s="169" customFormat="1" ht="51" hidden="1">
      <c r="A367" s="170" t="s">
        <v>832</v>
      </c>
      <c r="B367" s="171" t="s">
        <v>54</v>
      </c>
      <c r="C367" s="170" t="s">
        <v>986</v>
      </c>
      <c r="D367" s="170" t="s">
        <v>577</v>
      </c>
      <c r="E367" s="178" t="s">
        <v>333</v>
      </c>
      <c r="F367" s="173">
        <f t="shared" si="65"/>
        <v>67000</v>
      </c>
      <c r="G367" s="173">
        <v>67000</v>
      </c>
      <c r="H367" s="173"/>
      <c r="I367" s="173"/>
      <c r="J367" s="173"/>
      <c r="K367" s="173">
        <f t="shared" si="66"/>
        <v>0</v>
      </c>
      <c r="L367" s="173"/>
      <c r="M367" s="173"/>
      <c r="N367" s="173"/>
      <c r="O367" s="173"/>
      <c r="P367" s="173"/>
      <c r="Q367" s="173">
        <f t="shared" si="67"/>
        <v>67000</v>
      </c>
    </row>
    <row r="368" spans="1:18" ht="12.75">
      <c r="A368" s="112" t="s">
        <v>825</v>
      </c>
      <c r="B368" s="112" t="s">
        <v>98</v>
      </c>
      <c r="C368" s="112" t="s">
        <v>1015</v>
      </c>
      <c r="D368" s="112"/>
      <c r="E368" s="122" t="s">
        <v>99</v>
      </c>
      <c r="F368" s="26">
        <f aca="true" t="shared" si="68" ref="F368:F378">G368+J368</f>
        <v>0</v>
      </c>
      <c r="G368" s="114">
        <f>G369</f>
        <v>0</v>
      </c>
      <c r="H368" s="114">
        <f>H369</f>
        <v>0</v>
      </c>
      <c r="I368" s="114">
        <f>I369</f>
        <v>0</v>
      </c>
      <c r="J368" s="114">
        <f>J369</f>
        <v>0</v>
      </c>
      <c r="K368" s="26">
        <f aca="true" t="shared" si="69" ref="K368:K378">L368+O368</f>
        <v>9925000</v>
      </c>
      <c r="L368" s="114">
        <f>L369</f>
        <v>0</v>
      </c>
      <c r="M368" s="114">
        <f>M369</f>
        <v>0</v>
      </c>
      <c r="N368" s="114">
        <f>N369</f>
        <v>0</v>
      </c>
      <c r="O368" s="114">
        <f>O369</f>
        <v>9925000</v>
      </c>
      <c r="P368" s="114">
        <f>P369</f>
        <v>0</v>
      </c>
      <c r="Q368" s="26">
        <f aca="true" t="shared" si="70" ref="Q368:Q378">F368+K368</f>
        <v>9925000</v>
      </c>
      <c r="R368" s="164"/>
    </row>
    <row r="369" spans="1:17" ht="25.5">
      <c r="A369" s="50" t="s">
        <v>826</v>
      </c>
      <c r="B369" s="28" t="s">
        <v>86</v>
      </c>
      <c r="C369" s="50" t="s">
        <v>1016</v>
      </c>
      <c r="D369" s="50" t="s">
        <v>587</v>
      </c>
      <c r="E369" s="25" t="s">
        <v>93</v>
      </c>
      <c r="F369" s="26">
        <f t="shared" si="68"/>
        <v>0</v>
      </c>
      <c r="G369" s="27"/>
      <c r="H369" s="27"/>
      <c r="I369" s="27"/>
      <c r="J369" s="27"/>
      <c r="K369" s="26">
        <f t="shared" si="69"/>
        <v>9925000</v>
      </c>
      <c r="L369" s="27"/>
      <c r="M369" s="27"/>
      <c r="N369" s="27"/>
      <c r="O369" s="27">
        <f>1000000+1500000+800000+4870000+25000-4870000+(6600000)</f>
        <v>9925000</v>
      </c>
      <c r="P369" s="27"/>
      <c r="Q369" s="26">
        <f t="shared" si="70"/>
        <v>9925000</v>
      </c>
    </row>
    <row r="370" spans="1:18" ht="38.25" customHeight="1">
      <c r="A370" s="62" t="s">
        <v>260</v>
      </c>
      <c r="B370" s="62" t="s">
        <v>159</v>
      </c>
      <c r="C370" s="62" t="s">
        <v>159</v>
      </c>
      <c r="D370" s="62"/>
      <c r="E370" s="61" t="s">
        <v>128</v>
      </c>
      <c r="F370" s="39">
        <f t="shared" si="68"/>
        <v>6569476</v>
      </c>
      <c r="G370" s="39">
        <f>G371</f>
        <v>6569476</v>
      </c>
      <c r="H370" s="39">
        <f>H371</f>
        <v>4311077</v>
      </c>
      <c r="I370" s="39">
        <f>I371</f>
        <v>202144</v>
      </c>
      <c r="J370" s="39">
        <f>J371</f>
        <v>0</v>
      </c>
      <c r="K370" s="39">
        <f t="shared" si="69"/>
        <v>0</v>
      </c>
      <c r="L370" s="39">
        <f>L371</f>
        <v>0</v>
      </c>
      <c r="M370" s="39">
        <f>M371</f>
        <v>0</v>
      </c>
      <c r="N370" s="39">
        <f>N371</f>
        <v>0</v>
      </c>
      <c r="O370" s="39">
        <f>O371</f>
        <v>0</v>
      </c>
      <c r="P370" s="39">
        <f>P371</f>
        <v>0</v>
      </c>
      <c r="Q370" s="40">
        <f t="shared" si="70"/>
        <v>6569476</v>
      </c>
      <c r="R370" s="164"/>
    </row>
    <row r="371" spans="1:17" ht="39.75" customHeight="1">
      <c r="A371" s="59" t="s">
        <v>261</v>
      </c>
      <c r="B371" s="31"/>
      <c r="C371" s="31"/>
      <c r="D371" s="31"/>
      <c r="E371" s="49" t="s">
        <v>128</v>
      </c>
      <c r="F371" s="26">
        <f t="shared" si="68"/>
        <v>6569476</v>
      </c>
      <c r="G371" s="26">
        <f>G372+G374</f>
        <v>6569476</v>
      </c>
      <c r="H371" s="26">
        <f>H372+H374</f>
        <v>4311077</v>
      </c>
      <c r="I371" s="26">
        <f>I372+I374</f>
        <v>202144</v>
      </c>
      <c r="J371" s="26">
        <f>J372+J374</f>
        <v>0</v>
      </c>
      <c r="K371" s="26">
        <f t="shared" si="69"/>
        <v>0</v>
      </c>
      <c r="L371" s="26">
        <f>L372+L374</f>
        <v>0</v>
      </c>
      <c r="M371" s="26">
        <f>M372+M374</f>
        <v>0</v>
      </c>
      <c r="N371" s="26">
        <f>N372+N374</f>
        <v>0</v>
      </c>
      <c r="O371" s="26">
        <f>O372+O374</f>
        <v>0</v>
      </c>
      <c r="P371" s="26">
        <f>P372+P374</f>
        <v>0</v>
      </c>
      <c r="Q371" s="26">
        <f t="shared" si="70"/>
        <v>6569476</v>
      </c>
    </row>
    <row r="372" spans="1:17" ht="12.75">
      <c r="A372" s="112" t="s">
        <v>686</v>
      </c>
      <c r="B372" s="111" t="s">
        <v>671</v>
      </c>
      <c r="C372" s="111" t="s">
        <v>972</v>
      </c>
      <c r="D372" s="111"/>
      <c r="E372" s="127" t="s">
        <v>673</v>
      </c>
      <c r="F372" s="26">
        <f t="shared" si="68"/>
        <v>6569476</v>
      </c>
      <c r="G372" s="123">
        <f>G373</f>
        <v>6569476</v>
      </c>
      <c r="H372" s="123">
        <f>H373</f>
        <v>4311077</v>
      </c>
      <c r="I372" s="123">
        <f>I373</f>
        <v>202144</v>
      </c>
      <c r="J372" s="123">
        <f>J373</f>
        <v>0</v>
      </c>
      <c r="K372" s="26">
        <f t="shared" si="69"/>
        <v>0</v>
      </c>
      <c r="L372" s="123">
        <f>L373</f>
        <v>0</v>
      </c>
      <c r="M372" s="123">
        <f>M373</f>
        <v>0</v>
      </c>
      <c r="N372" s="123">
        <f>N373</f>
        <v>0</v>
      </c>
      <c r="O372" s="123">
        <f>O373</f>
        <v>0</v>
      </c>
      <c r="P372" s="123">
        <f>P373</f>
        <v>0</v>
      </c>
      <c r="Q372" s="26">
        <f t="shared" si="70"/>
        <v>6569476</v>
      </c>
    </row>
    <row r="373" spans="1:17" ht="38.25">
      <c r="A373" s="50" t="s">
        <v>10</v>
      </c>
      <c r="B373" s="28" t="s">
        <v>33</v>
      </c>
      <c r="C373" s="50" t="s">
        <v>613</v>
      </c>
      <c r="D373" s="50" t="s">
        <v>574</v>
      </c>
      <c r="E373" s="51" t="s">
        <v>965</v>
      </c>
      <c r="F373" s="26">
        <f t="shared" si="68"/>
        <v>6569476</v>
      </c>
      <c r="G373" s="27">
        <f>5685944-129000+998906+13626</f>
        <v>6569476</v>
      </c>
      <c r="H373" s="27">
        <f>3483559+816322+11196</f>
        <v>4311077</v>
      </c>
      <c r="I373" s="27">
        <v>202144</v>
      </c>
      <c r="J373" s="27"/>
      <c r="K373" s="26">
        <f t="shared" si="69"/>
        <v>0</v>
      </c>
      <c r="L373" s="27"/>
      <c r="M373" s="27"/>
      <c r="N373" s="27"/>
      <c r="O373" s="27"/>
      <c r="P373" s="27"/>
      <c r="Q373" s="26">
        <f t="shared" si="70"/>
        <v>6569476</v>
      </c>
    </row>
    <row r="374" spans="1:17" ht="25.5" hidden="1">
      <c r="A374" s="112" t="s">
        <v>687</v>
      </c>
      <c r="B374" s="112" t="s">
        <v>634</v>
      </c>
      <c r="C374" s="112" t="s">
        <v>1021</v>
      </c>
      <c r="D374" s="112"/>
      <c r="E374" s="113" t="s">
        <v>635</v>
      </c>
      <c r="F374" s="26">
        <f t="shared" si="68"/>
        <v>0</v>
      </c>
      <c r="G374" s="114">
        <f>G375</f>
        <v>0</v>
      </c>
      <c r="H374" s="114">
        <f aca="true" t="shared" si="71" ref="H374:J375">H375</f>
        <v>0</v>
      </c>
      <c r="I374" s="114">
        <f t="shared" si="71"/>
        <v>0</v>
      </c>
      <c r="J374" s="114">
        <f t="shared" si="71"/>
        <v>0</v>
      </c>
      <c r="K374" s="26">
        <f t="shared" si="69"/>
        <v>0</v>
      </c>
      <c r="L374" s="114">
        <f aca="true" t="shared" si="72" ref="L374:P375">L375</f>
        <v>0</v>
      </c>
      <c r="M374" s="114">
        <f t="shared" si="72"/>
        <v>0</v>
      </c>
      <c r="N374" s="114">
        <f t="shared" si="72"/>
        <v>0</v>
      </c>
      <c r="O374" s="114">
        <f t="shared" si="72"/>
        <v>0</v>
      </c>
      <c r="P374" s="114">
        <f t="shared" si="72"/>
        <v>0</v>
      </c>
      <c r="Q374" s="26">
        <f t="shared" si="70"/>
        <v>0</v>
      </c>
    </row>
    <row r="375" spans="1:17" ht="12" customHeight="1" hidden="1">
      <c r="A375" s="85" t="s">
        <v>421</v>
      </c>
      <c r="B375" s="85" t="s">
        <v>54</v>
      </c>
      <c r="C375" s="85" t="s">
        <v>1093</v>
      </c>
      <c r="D375" s="85"/>
      <c r="E375" s="94" t="s">
        <v>416</v>
      </c>
      <c r="F375" s="26">
        <f t="shared" si="68"/>
        <v>0</v>
      </c>
      <c r="G375" s="88">
        <f>G376</f>
        <v>0</v>
      </c>
      <c r="H375" s="88">
        <f t="shared" si="71"/>
        <v>0</v>
      </c>
      <c r="I375" s="88">
        <f t="shared" si="71"/>
        <v>0</v>
      </c>
      <c r="J375" s="88">
        <f t="shared" si="71"/>
        <v>0</v>
      </c>
      <c r="K375" s="26">
        <f t="shared" si="69"/>
        <v>0</v>
      </c>
      <c r="L375" s="88">
        <f t="shared" si="72"/>
        <v>0</v>
      </c>
      <c r="M375" s="88">
        <f t="shared" si="72"/>
        <v>0</v>
      </c>
      <c r="N375" s="88">
        <f t="shared" si="72"/>
        <v>0</v>
      </c>
      <c r="O375" s="88">
        <f t="shared" si="72"/>
        <v>0</v>
      </c>
      <c r="P375" s="88">
        <f t="shared" si="72"/>
        <v>0</v>
      </c>
      <c r="Q375" s="26">
        <f t="shared" si="70"/>
        <v>0</v>
      </c>
    </row>
    <row r="376" spans="1:17" ht="53.25" customHeight="1" hidden="1">
      <c r="A376" s="50" t="s">
        <v>434</v>
      </c>
      <c r="B376" s="50" t="s">
        <v>54</v>
      </c>
      <c r="C376" s="50" t="s">
        <v>988</v>
      </c>
      <c r="D376" s="50" t="s">
        <v>577</v>
      </c>
      <c r="E376" s="51" t="s">
        <v>362</v>
      </c>
      <c r="F376" s="26">
        <f t="shared" si="68"/>
        <v>0</v>
      </c>
      <c r="G376" s="27"/>
      <c r="H376" s="27"/>
      <c r="I376" s="27"/>
      <c r="J376" s="27"/>
      <c r="K376" s="26">
        <f t="shared" si="69"/>
        <v>0</v>
      </c>
      <c r="L376" s="27"/>
      <c r="M376" s="27"/>
      <c r="N376" s="27"/>
      <c r="O376" s="27"/>
      <c r="P376" s="27"/>
      <c r="Q376" s="26">
        <f t="shared" si="70"/>
        <v>0</v>
      </c>
    </row>
    <row r="377" spans="1:18" ht="39" customHeight="1">
      <c r="A377" s="62" t="s">
        <v>262</v>
      </c>
      <c r="B377" s="62" t="s">
        <v>163</v>
      </c>
      <c r="C377" s="62" t="s">
        <v>163</v>
      </c>
      <c r="D377" s="62"/>
      <c r="E377" s="61" t="s">
        <v>127</v>
      </c>
      <c r="F377" s="39">
        <f t="shared" si="68"/>
        <v>7141139</v>
      </c>
      <c r="G377" s="39">
        <f>G378</f>
        <v>7141139</v>
      </c>
      <c r="H377" s="39">
        <f>H378</f>
        <v>4138163</v>
      </c>
      <c r="I377" s="39">
        <f>I378</f>
        <v>293830</v>
      </c>
      <c r="J377" s="39">
        <f>J378</f>
        <v>0</v>
      </c>
      <c r="K377" s="39">
        <f t="shared" si="69"/>
        <v>4144990</v>
      </c>
      <c r="L377" s="39">
        <f>L378</f>
        <v>0</v>
      </c>
      <c r="M377" s="39">
        <f>M378</f>
        <v>0</v>
      </c>
      <c r="N377" s="39">
        <f>N378</f>
        <v>0</v>
      </c>
      <c r="O377" s="39">
        <f>O378</f>
        <v>4144990</v>
      </c>
      <c r="P377" s="39">
        <f>P378</f>
        <v>4144990</v>
      </c>
      <c r="Q377" s="40">
        <f t="shared" si="70"/>
        <v>11286129</v>
      </c>
      <c r="R377" s="164"/>
    </row>
    <row r="378" spans="1:17" ht="38.25">
      <c r="A378" s="59" t="s">
        <v>263</v>
      </c>
      <c r="B378" s="31"/>
      <c r="C378" s="31"/>
      <c r="D378" s="31"/>
      <c r="E378" s="49" t="s">
        <v>127</v>
      </c>
      <c r="F378" s="26">
        <f t="shared" si="68"/>
        <v>7141139</v>
      </c>
      <c r="G378" s="26">
        <f>G379+G381+G382</f>
        <v>7141139</v>
      </c>
      <c r="H378" s="26">
        <f>H379+H381+H382</f>
        <v>4138163</v>
      </c>
      <c r="I378" s="26">
        <f>I379+I381+I382</f>
        <v>293830</v>
      </c>
      <c r="J378" s="26">
        <f>J379+J381+J382</f>
        <v>0</v>
      </c>
      <c r="K378" s="26">
        <f t="shared" si="69"/>
        <v>4144990</v>
      </c>
      <c r="L378" s="26">
        <f>L379+L381+L382</f>
        <v>0</v>
      </c>
      <c r="M378" s="26">
        <f>M379+M381+M382</f>
        <v>0</v>
      </c>
      <c r="N378" s="26">
        <f>N379+N381+N382</f>
        <v>0</v>
      </c>
      <c r="O378" s="26">
        <f>O379+O381+O382</f>
        <v>4144990</v>
      </c>
      <c r="P378" s="26">
        <f>P379+P381+P382</f>
        <v>4144990</v>
      </c>
      <c r="Q378" s="26">
        <f t="shared" si="70"/>
        <v>11286129</v>
      </c>
    </row>
    <row r="379" spans="1:17" ht="12.75">
      <c r="A379" s="112" t="s">
        <v>688</v>
      </c>
      <c r="B379" s="111" t="s">
        <v>671</v>
      </c>
      <c r="C379" s="111" t="s">
        <v>972</v>
      </c>
      <c r="D379" s="111"/>
      <c r="E379" s="127" t="s">
        <v>673</v>
      </c>
      <c r="F379" s="26">
        <f aca="true" t="shared" si="73" ref="F379:F385">G379+J379</f>
        <v>6171739</v>
      </c>
      <c r="G379" s="123">
        <f>G380</f>
        <v>6171739</v>
      </c>
      <c r="H379" s="123">
        <f>H380</f>
        <v>4138163</v>
      </c>
      <c r="I379" s="123">
        <f>I380</f>
        <v>293830</v>
      </c>
      <c r="J379" s="123">
        <f>J380</f>
        <v>0</v>
      </c>
      <c r="K379" s="26">
        <f aca="true" t="shared" si="74" ref="K379:K385">L379+O379</f>
        <v>0</v>
      </c>
      <c r="L379" s="123">
        <f>L380</f>
        <v>0</v>
      </c>
      <c r="M379" s="123">
        <f>M380</f>
        <v>0</v>
      </c>
      <c r="N379" s="123">
        <f>N380</f>
        <v>0</v>
      </c>
      <c r="O379" s="123">
        <f>O380</f>
        <v>0</v>
      </c>
      <c r="P379" s="123">
        <f>P380</f>
        <v>0</v>
      </c>
      <c r="Q379" s="26">
        <f aca="true" t="shared" si="75" ref="Q379:Q385">F379+K379</f>
        <v>6171739</v>
      </c>
    </row>
    <row r="380" spans="1:17" ht="25.5">
      <c r="A380" s="50" t="s">
        <v>11</v>
      </c>
      <c r="B380" s="28" t="s">
        <v>33</v>
      </c>
      <c r="C380" s="50" t="s">
        <v>613</v>
      </c>
      <c r="D380" s="50" t="s">
        <v>574</v>
      </c>
      <c r="E380" s="51" t="s">
        <v>308</v>
      </c>
      <c r="F380" s="26">
        <f t="shared" si="73"/>
        <v>6171739</v>
      </c>
      <c r="G380" s="27">
        <f>5012516+78408+67760+999897+13158</f>
        <v>6171739</v>
      </c>
      <c r="H380" s="27">
        <f>3320922+806456+10785</f>
        <v>4138163</v>
      </c>
      <c r="I380" s="27">
        <v>293830</v>
      </c>
      <c r="J380" s="27"/>
      <c r="K380" s="26">
        <f t="shared" si="74"/>
        <v>0</v>
      </c>
      <c r="L380" s="27"/>
      <c r="M380" s="27"/>
      <c r="N380" s="27"/>
      <c r="O380" s="27"/>
      <c r="P380" s="27"/>
      <c r="Q380" s="26">
        <f t="shared" si="75"/>
        <v>6171739</v>
      </c>
    </row>
    <row r="381" spans="1:17" ht="30" customHeight="1">
      <c r="A381" s="112" t="s">
        <v>495</v>
      </c>
      <c r="B381" s="112" t="s">
        <v>494</v>
      </c>
      <c r="C381" s="112" t="s">
        <v>1109</v>
      </c>
      <c r="D381" s="112" t="s">
        <v>609</v>
      </c>
      <c r="E381" s="113" t="s">
        <v>496</v>
      </c>
      <c r="F381" s="26">
        <f t="shared" si="73"/>
        <v>0</v>
      </c>
      <c r="G381" s="114"/>
      <c r="H381" s="114"/>
      <c r="I381" s="114"/>
      <c r="J381" s="114"/>
      <c r="K381" s="26">
        <f t="shared" si="74"/>
        <v>3374990</v>
      </c>
      <c r="L381" s="114"/>
      <c r="M381" s="114"/>
      <c r="N381" s="114"/>
      <c r="O381" s="114">
        <f>P381</f>
        <v>3374990</v>
      </c>
      <c r="P381" s="114">
        <f>2357560+596830+420600</f>
        <v>3374990</v>
      </c>
      <c r="Q381" s="26">
        <f t="shared" si="75"/>
        <v>3374990</v>
      </c>
    </row>
    <row r="382" spans="1:17" ht="24.75" customHeight="1">
      <c r="A382" s="112" t="s">
        <v>689</v>
      </c>
      <c r="B382" s="112" t="s">
        <v>634</v>
      </c>
      <c r="C382" s="112" t="s">
        <v>1021</v>
      </c>
      <c r="D382" s="112"/>
      <c r="E382" s="113" t="s">
        <v>635</v>
      </c>
      <c r="F382" s="26">
        <f t="shared" si="73"/>
        <v>969400</v>
      </c>
      <c r="G382" s="114">
        <f>G383</f>
        <v>969400</v>
      </c>
      <c r="H382" s="114">
        <f>H383</f>
        <v>0</v>
      </c>
      <c r="I382" s="114">
        <f>I383</f>
        <v>0</v>
      </c>
      <c r="J382" s="114">
        <f>J383</f>
        <v>0</v>
      </c>
      <c r="K382" s="26">
        <f t="shared" si="74"/>
        <v>770000</v>
      </c>
      <c r="L382" s="114">
        <f>L383</f>
        <v>0</v>
      </c>
      <c r="M382" s="114">
        <f>M383</f>
        <v>0</v>
      </c>
      <c r="N382" s="114">
        <f>N383</f>
        <v>0</v>
      </c>
      <c r="O382" s="114">
        <f>O383</f>
        <v>770000</v>
      </c>
      <c r="P382" s="114">
        <f>P383</f>
        <v>770000</v>
      </c>
      <c r="Q382" s="26">
        <f t="shared" si="75"/>
        <v>1739400</v>
      </c>
    </row>
    <row r="383" spans="1:17" ht="12.75">
      <c r="A383" s="85" t="s">
        <v>422</v>
      </c>
      <c r="B383" s="85" t="s">
        <v>54</v>
      </c>
      <c r="C383" s="85" t="s">
        <v>1093</v>
      </c>
      <c r="D383" s="85" t="s">
        <v>577</v>
      </c>
      <c r="E383" s="94" t="s">
        <v>416</v>
      </c>
      <c r="F383" s="88">
        <f t="shared" si="73"/>
        <v>969400</v>
      </c>
      <c r="G383" s="88">
        <f>G384+G385</f>
        <v>969400</v>
      </c>
      <c r="H383" s="88">
        <f>H384+H385</f>
        <v>0</v>
      </c>
      <c r="I383" s="88">
        <f>I384+I385</f>
        <v>0</v>
      </c>
      <c r="J383" s="88">
        <f>J384+J385</f>
        <v>0</v>
      </c>
      <c r="K383" s="26">
        <f t="shared" si="74"/>
        <v>770000</v>
      </c>
      <c r="L383" s="88">
        <f>L384+L385</f>
        <v>0</v>
      </c>
      <c r="M383" s="88">
        <f>M384+M385</f>
        <v>0</v>
      </c>
      <c r="N383" s="88">
        <f>N384+N385</f>
        <v>0</v>
      </c>
      <c r="O383" s="88">
        <f>O384+O385</f>
        <v>770000</v>
      </c>
      <c r="P383" s="88">
        <f>P384+P385</f>
        <v>770000</v>
      </c>
      <c r="Q383" s="88">
        <f t="shared" si="75"/>
        <v>1739400</v>
      </c>
    </row>
    <row r="384" spans="1:17" s="169" customFormat="1" ht="54.75" customHeight="1" hidden="1">
      <c r="A384" s="184" t="s">
        <v>361</v>
      </c>
      <c r="B384" s="170" t="s">
        <v>54</v>
      </c>
      <c r="C384" s="170" t="s">
        <v>987</v>
      </c>
      <c r="D384" s="170" t="s">
        <v>577</v>
      </c>
      <c r="E384" s="179" t="s">
        <v>479</v>
      </c>
      <c r="F384" s="173">
        <f t="shared" si="73"/>
        <v>969400</v>
      </c>
      <c r="G384" s="173">
        <f>1390000-420600</f>
        <v>969400</v>
      </c>
      <c r="H384" s="173"/>
      <c r="I384" s="173"/>
      <c r="J384" s="173"/>
      <c r="K384" s="173">
        <f t="shared" si="74"/>
        <v>770000</v>
      </c>
      <c r="L384" s="173"/>
      <c r="M384" s="173"/>
      <c r="N384" s="173"/>
      <c r="O384" s="173">
        <f>P384</f>
        <v>770000</v>
      </c>
      <c r="P384" s="173">
        <v>770000</v>
      </c>
      <c r="Q384" s="173">
        <f t="shared" si="75"/>
        <v>1739400</v>
      </c>
    </row>
    <row r="385" spans="1:17" ht="37.5" customHeight="1" hidden="1">
      <c r="A385" s="59" t="s">
        <v>499</v>
      </c>
      <c r="B385" s="31" t="s">
        <v>54</v>
      </c>
      <c r="C385" s="59" t="s">
        <v>985</v>
      </c>
      <c r="D385" s="31"/>
      <c r="E385" s="83" t="s">
        <v>433</v>
      </c>
      <c r="F385" s="26">
        <f t="shared" si="73"/>
        <v>0</v>
      </c>
      <c r="G385" s="27"/>
      <c r="H385" s="27"/>
      <c r="I385" s="27"/>
      <c r="J385" s="27"/>
      <c r="K385" s="26">
        <f t="shared" si="74"/>
        <v>0</v>
      </c>
      <c r="L385" s="27"/>
      <c r="M385" s="27"/>
      <c r="N385" s="27"/>
      <c r="O385" s="27"/>
      <c r="P385" s="27"/>
      <c r="Q385" s="26">
        <f t="shared" si="75"/>
        <v>0</v>
      </c>
    </row>
    <row r="386" spans="1:18" s="43" customFormat="1" ht="38.25">
      <c r="A386" s="62" t="s">
        <v>806</v>
      </c>
      <c r="B386" s="62" t="s">
        <v>805</v>
      </c>
      <c r="C386" s="62" t="s">
        <v>805</v>
      </c>
      <c r="D386" s="62"/>
      <c r="E386" s="61" t="s">
        <v>810</v>
      </c>
      <c r="F386" s="39">
        <f aca="true" t="shared" si="76" ref="F386:F404">G386+J386</f>
        <v>1483230</v>
      </c>
      <c r="G386" s="39">
        <f>G387</f>
        <v>1483230</v>
      </c>
      <c r="H386" s="39">
        <f aca="true" t="shared" si="77" ref="H386:J388">H387</f>
        <v>760162</v>
      </c>
      <c r="I386" s="39">
        <f t="shared" si="77"/>
        <v>65413</v>
      </c>
      <c r="J386" s="39">
        <f t="shared" si="77"/>
        <v>0</v>
      </c>
      <c r="K386" s="39">
        <f aca="true" t="shared" si="78" ref="K386:K404">L386+O386</f>
        <v>51972</v>
      </c>
      <c r="L386" s="39">
        <f aca="true" t="shared" si="79" ref="L386:P388">L387</f>
        <v>0</v>
      </c>
      <c r="M386" s="39">
        <f t="shared" si="79"/>
        <v>0</v>
      </c>
      <c r="N386" s="39">
        <f t="shared" si="79"/>
        <v>0</v>
      </c>
      <c r="O386" s="39">
        <f t="shared" si="79"/>
        <v>51972</v>
      </c>
      <c r="P386" s="39">
        <f t="shared" si="79"/>
        <v>51972</v>
      </c>
      <c r="Q386" s="40">
        <f aca="true" t="shared" si="80" ref="Q386:Q404">F386+K386</f>
        <v>1535202</v>
      </c>
      <c r="R386" s="193"/>
    </row>
    <row r="387" spans="1:17" s="43" customFormat="1" ht="38.25" customHeight="1">
      <c r="A387" s="59" t="s">
        <v>807</v>
      </c>
      <c r="B387" s="31"/>
      <c r="C387" s="31"/>
      <c r="D387" s="31"/>
      <c r="E387" s="51" t="s">
        <v>810</v>
      </c>
      <c r="F387" s="27">
        <f t="shared" si="76"/>
        <v>1483230</v>
      </c>
      <c r="G387" s="27">
        <f>G388</f>
        <v>1483230</v>
      </c>
      <c r="H387" s="27">
        <f t="shared" si="77"/>
        <v>760162</v>
      </c>
      <c r="I387" s="27">
        <f t="shared" si="77"/>
        <v>65413</v>
      </c>
      <c r="J387" s="27">
        <f t="shared" si="77"/>
        <v>0</v>
      </c>
      <c r="K387" s="27">
        <f t="shared" si="78"/>
        <v>51972</v>
      </c>
      <c r="L387" s="27">
        <f t="shared" si="79"/>
        <v>0</v>
      </c>
      <c r="M387" s="27">
        <f t="shared" si="79"/>
        <v>0</v>
      </c>
      <c r="N387" s="27">
        <f t="shared" si="79"/>
        <v>0</v>
      </c>
      <c r="O387" s="27">
        <f t="shared" si="79"/>
        <v>51972</v>
      </c>
      <c r="P387" s="27">
        <f t="shared" si="79"/>
        <v>51972</v>
      </c>
      <c r="Q387" s="27">
        <f t="shared" si="80"/>
        <v>1535202</v>
      </c>
    </row>
    <row r="388" spans="1:17" s="43" customFormat="1" ht="12.75">
      <c r="A388" s="112" t="s">
        <v>808</v>
      </c>
      <c r="B388" s="111" t="s">
        <v>671</v>
      </c>
      <c r="C388" s="111" t="s">
        <v>972</v>
      </c>
      <c r="D388" s="111"/>
      <c r="E388" s="127" t="s">
        <v>673</v>
      </c>
      <c r="F388" s="27">
        <f t="shared" si="76"/>
        <v>1483230</v>
      </c>
      <c r="G388" s="114">
        <f>G389</f>
        <v>1483230</v>
      </c>
      <c r="H388" s="114">
        <f t="shared" si="77"/>
        <v>760162</v>
      </c>
      <c r="I388" s="114">
        <f t="shared" si="77"/>
        <v>65413</v>
      </c>
      <c r="J388" s="114">
        <f t="shared" si="77"/>
        <v>0</v>
      </c>
      <c r="K388" s="27">
        <f t="shared" si="78"/>
        <v>51972</v>
      </c>
      <c r="L388" s="114">
        <f t="shared" si="79"/>
        <v>0</v>
      </c>
      <c r="M388" s="114">
        <f t="shared" si="79"/>
        <v>0</v>
      </c>
      <c r="N388" s="114">
        <f t="shared" si="79"/>
        <v>0</v>
      </c>
      <c r="O388" s="114">
        <f t="shared" si="79"/>
        <v>51972</v>
      </c>
      <c r="P388" s="114">
        <f t="shared" si="79"/>
        <v>51972</v>
      </c>
      <c r="Q388" s="27">
        <f t="shared" si="80"/>
        <v>1535202</v>
      </c>
    </row>
    <row r="389" spans="1:17" s="43" customFormat="1" ht="37.5" customHeight="1">
      <c r="A389" s="50" t="s">
        <v>809</v>
      </c>
      <c r="B389" s="28" t="s">
        <v>33</v>
      </c>
      <c r="C389" s="50" t="s">
        <v>613</v>
      </c>
      <c r="D389" s="50" t="s">
        <v>574</v>
      </c>
      <c r="E389" s="51" t="s">
        <v>1146</v>
      </c>
      <c r="F389" s="27">
        <f t="shared" si="76"/>
        <v>1483230</v>
      </c>
      <c r="G389" s="27">
        <f>2443243-207430-51972-703064+2453</f>
        <v>1483230</v>
      </c>
      <c r="H389" s="27">
        <f>1508274-163250-586873+2011</f>
        <v>760162</v>
      </c>
      <c r="I389" s="27">
        <v>65413</v>
      </c>
      <c r="J389" s="27"/>
      <c r="K389" s="27">
        <f t="shared" si="78"/>
        <v>51972</v>
      </c>
      <c r="L389" s="27"/>
      <c r="M389" s="27"/>
      <c r="N389" s="27"/>
      <c r="O389" s="27">
        <f>P389</f>
        <v>51972</v>
      </c>
      <c r="P389" s="27">
        <v>51972</v>
      </c>
      <c r="Q389" s="27">
        <f t="shared" si="80"/>
        <v>1535202</v>
      </c>
    </row>
    <row r="390" spans="1:18" s="43" customFormat="1" ht="25.5">
      <c r="A390" s="62" t="s">
        <v>264</v>
      </c>
      <c r="B390" s="62" t="s">
        <v>165</v>
      </c>
      <c r="C390" s="62" t="s">
        <v>165</v>
      </c>
      <c r="D390" s="62"/>
      <c r="E390" s="61" t="s">
        <v>138</v>
      </c>
      <c r="F390" s="39">
        <f t="shared" si="76"/>
        <v>2833395</v>
      </c>
      <c r="G390" s="39">
        <f>G391</f>
        <v>2833395</v>
      </c>
      <c r="H390" s="39">
        <f aca="true" t="shared" si="81" ref="H390:J392">H391</f>
        <v>1739104</v>
      </c>
      <c r="I390" s="39">
        <f t="shared" si="81"/>
        <v>22540</v>
      </c>
      <c r="J390" s="39">
        <f t="shared" si="81"/>
        <v>0</v>
      </c>
      <c r="K390" s="39">
        <f t="shared" si="78"/>
        <v>648256</v>
      </c>
      <c r="L390" s="39">
        <f aca="true" t="shared" si="82" ref="L390:P392">L391</f>
        <v>0</v>
      </c>
      <c r="M390" s="39">
        <f t="shared" si="82"/>
        <v>0</v>
      </c>
      <c r="N390" s="39">
        <f t="shared" si="82"/>
        <v>0</v>
      </c>
      <c r="O390" s="39">
        <f t="shared" si="82"/>
        <v>648256</v>
      </c>
      <c r="P390" s="39">
        <f t="shared" si="82"/>
        <v>648256</v>
      </c>
      <c r="Q390" s="40">
        <f t="shared" si="80"/>
        <v>3481651</v>
      </c>
      <c r="R390" s="193"/>
    </row>
    <row r="391" spans="1:17" s="43" customFormat="1" ht="25.5">
      <c r="A391" s="59" t="s">
        <v>265</v>
      </c>
      <c r="B391" s="31"/>
      <c r="C391" s="31"/>
      <c r="D391" s="31"/>
      <c r="E391" s="49" t="s">
        <v>138</v>
      </c>
      <c r="F391" s="27">
        <f t="shared" si="76"/>
        <v>2833395</v>
      </c>
      <c r="G391" s="27">
        <f>G392+G394+G395</f>
        <v>2833395</v>
      </c>
      <c r="H391" s="27">
        <f>H392+H394+H395</f>
        <v>1739104</v>
      </c>
      <c r="I391" s="27">
        <f>I392+I394+I395</f>
        <v>22540</v>
      </c>
      <c r="J391" s="27">
        <f>J392+J394+J395</f>
        <v>0</v>
      </c>
      <c r="K391" s="27">
        <f t="shared" si="78"/>
        <v>648256</v>
      </c>
      <c r="L391" s="27">
        <f>L392+L394+L395</f>
        <v>0</v>
      </c>
      <c r="M391" s="27">
        <f>M392+M394+M395</f>
        <v>0</v>
      </c>
      <c r="N391" s="27">
        <f>N392+N394+N395</f>
        <v>0</v>
      </c>
      <c r="O391" s="27">
        <f>O392+O394+O395</f>
        <v>648256</v>
      </c>
      <c r="P391" s="27">
        <f>P392+P394+P395</f>
        <v>648256</v>
      </c>
      <c r="Q391" s="27">
        <f t="shared" si="80"/>
        <v>3481651</v>
      </c>
    </row>
    <row r="392" spans="1:17" s="43" customFormat="1" ht="12.75">
      <c r="A392" s="112" t="s">
        <v>690</v>
      </c>
      <c r="B392" s="111" t="s">
        <v>671</v>
      </c>
      <c r="C392" s="111" t="s">
        <v>972</v>
      </c>
      <c r="D392" s="111"/>
      <c r="E392" s="127" t="s">
        <v>673</v>
      </c>
      <c r="F392" s="27">
        <f t="shared" si="76"/>
        <v>2419982</v>
      </c>
      <c r="G392" s="114">
        <f>G393</f>
        <v>2419982</v>
      </c>
      <c r="H392" s="114">
        <f t="shared" si="81"/>
        <v>1739104</v>
      </c>
      <c r="I392" s="114">
        <f t="shared" si="81"/>
        <v>22540</v>
      </c>
      <c r="J392" s="114">
        <f t="shared" si="81"/>
        <v>0</v>
      </c>
      <c r="K392" s="27">
        <f t="shared" si="78"/>
        <v>0</v>
      </c>
      <c r="L392" s="114">
        <f t="shared" si="82"/>
        <v>0</v>
      </c>
      <c r="M392" s="114">
        <f t="shared" si="82"/>
        <v>0</v>
      </c>
      <c r="N392" s="114">
        <f t="shared" si="82"/>
        <v>0</v>
      </c>
      <c r="O392" s="114">
        <f t="shared" si="82"/>
        <v>0</v>
      </c>
      <c r="P392" s="114">
        <f t="shared" si="82"/>
        <v>0</v>
      </c>
      <c r="Q392" s="27">
        <f t="shared" si="80"/>
        <v>2419982</v>
      </c>
    </row>
    <row r="393" spans="1:17" s="43" customFormat="1" ht="37.5" customHeight="1">
      <c r="A393" s="50" t="s">
        <v>12</v>
      </c>
      <c r="B393" s="28" t="s">
        <v>33</v>
      </c>
      <c r="C393" s="50" t="s">
        <v>613</v>
      </c>
      <c r="D393" s="50" t="s">
        <v>574</v>
      </c>
      <c r="E393" s="51" t="s">
        <v>313</v>
      </c>
      <c r="F393" s="27">
        <f t="shared" si="76"/>
        <v>2419982</v>
      </c>
      <c r="G393" s="27">
        <f>1914417+9809+490031+5725</f>
        <v>2419982</v>
      </c>
      <c r="H393" s="27">
        <f>1326875+407513+4716</f>
        <v>1739104</v>
      </c>
      <c r="I393" s="27">
        <v>22540</v>
      </c>
      <c r="J393" s="27"/>
      <c r="K393" s="27">
        <f t="shared" si="78"/>
        <v>0</v>
      </c>
      <c r="L393" s="27"/>
      <c r="M393" s="27"/>
      <c r="N393" s="27"/>
      <c r="O393" s="27"/>
      <c r="P393" s="27"/>
      <c r="Q393" s="27">
        <f t="shared" si="80"/>
        <v>2419982</v>
      </c>
    </row>
    <row r="394" spans="1:17" s="43" customFormat="1" ht="76.5">
      <c r="A394" s="50" t="s">
        <v>1222</v>
      </c>
      <c r="B394" s="28"/>
      <c r="C394" s="50" t="s">
        <v>1223</v>
      </c>
      <c r="D394" s="50" t="s">
        <v>607</v>
      </c>
      <c r="E394" s="51" t="s">
        <v>1224</v>
      </c>
      <c r="F394" s="27">
        <f>G394</f>
        <v>413413</v>
      </c>
      <c r="G394" s="27">
        <f>600369-186956</f>
        <v>413413</v>
      </c>
      <c r="H394" s="27"/>
      <c r="I394" s="27"/>
      <c r="J394" s="27"/>
      <c r="K394" s="27">
        <f t="shared" si="78"/>
        <v>186956</v>
      </c>
      <c r="L394" s="27"/>
      <c r="M394" s="27"/>
      <c r="N394" s="27"/>
      <c r="O394" s="27">
        <f>P394</f>
        <v>186956</v>
      </c>
      <c r="P394" s="27">
        <v>186956</v>
      </c>
      <c r="Q394" s="27">
        <f t="shared" si="80"/>
        <v>600369</v>
      </c>
    </row>
    <row r="395" spans="1:18" ht="25.5" customHeight="1">
      <c r="A395" s="112" t="s">
        <v>1220</v>
      </c>
      <c r="B395" s="112" t="s">
        <v>617</v>
      </c>
      <c r="C395" s="112" t="s">
        <v>1091</v>
      </c>
      <c r="D395" s="112"/>
      <c r="E395" s="115" t="s">
        <v>619</v>
      </c>
      <c r="F395" s="26">
        <f t="shared" si="76"/>
        <v>0</v>
      </c>
      <c r="G395" s="114">
        <f>G396</f>
        <v>0</v>
      </c>
      <c r="H395" s="114">
        <f>H396</f>
        <v>0</v>
      </c>
      <c r="I395" s="114">
        <f>I396</f>
        <v>0</v>
      </c>
      <c r="J395" s="114">
        <f>J396</f>
        <v>0</v>
      </c>
      <c r="K395" s="26">
        <f t="shared" si="78"/>
        <v>461300</v>
      </c>
      <c r="L395" s="114">
        <f>L396</f>
        <v>0</v>
      </c>
      <c r="M395" s="114">
        <f>M396</f>
        <v>0</v>
      </c>
      <c r="N395" s="114">
        <f>N396</f>
        <v>0</v>
      </c>
      <c r="O395" s="114">
        <f>O396</f>
        <v>461300</v>
      </c>
      <c r="P395" s="114">
        <f>P396</f>
        <v>461300</v>
      </c>
      <c r="Q395" s="26">
        <f t="shared" si="80"/>
        <v>461300</v>
      </c>
      <c r="R395" s="164"/>
    </row>
    <row r="396" spans="1:17" ht="29.25" customHeight="1">
      <c r="A396" s="50" t="s">
        <v>1221</v>
      </c>
      <c r="B396" s="28" t="s">
        <v>95</v>
      </c>
      <c r="C396" s="50" t="s">
        <v>982</v>
      </c>
      <c r="D396" s="50" t="s">
        <v>576</v>
      </c>
      <c r="E396" s="48" t="s">
        <v>259</v>
      </c>
      <c r="F396" s="26">
        <f t="shared" si="76"/>
        <v>0</v>
      </c>
      <c r="G396" s="27"/>
      <c r="H396" s="27"/>
      <c r="I396" s="27"/>
      <c r="J396" s="27"/>
      <c r="K396" s="26">
        <f t="shared" si="78"/>
        <v>461300</v>
      </c>
      <c r="L396" s="27"/>
      <c r="M396" s="27"/>
      <c r="N396" s="27"/>
      <c r="O396" s="27">
        <f>P396</f>
        <v>461300</v>
      </c>
      <c r="P396" s="27">
        <v>461300</v>
      </c>
      <c r="Q396" s="26">
        <f t="shared" si="80"/>
        <v>461300</v>
      </c>
    </row>
    <row r="397" spans="1:18" ht="24.75" customHeight="1">
      <c r="A397" s="62" t="s">
        <v>266</v>
      </c>
      <c r="B397" s="62" t="s">
        <v>169</v>
      </c>
      <c r="C397" s="62" t="s">
        <v>169</v>
      </c>
      <c r="D397" s="62"/>
      <c r="E397" s="63" t="s">
        <v>139</v>
      </c>
      <c r="F397" s="39">
        <f t="shared" si="76"/>
        <v>3598439</v>
      </c>
      <c r="G397" s="39">
        <f>G398</f>
        <v>3598439</v>
      </c>
      <c r="H397" s="39">
        <f>H398</f>
        <v>2637861</v>
      </c>
      <c r="I397" s="39">
        <f>I398</f>
        <v>98958</v>
      </c>
      <c r="J397" s="39">
        <f>J398</f>
        <v>0</v>
      </c>
      <c r="K397" s="39">
        <f t="shared" si="78"/>
        <v>0</v>
      </c>
      <c r="L397" s="39">
        <f>L398</f>
        <v>0</v>
      </c>
      <c r="M397" s="39">
        <f>M398</f>
        <v>0</v>
      </c>
      <c r="N397" s="39">
        <f>N398</f>
        <v>0</v>
      </c>
      <c r="O397" s="39">
        <f>O398</f>
        <v>0</v>
      </c>
      <c r="P397" s="39">
        <f>P398</f>
        <v>0</v>
      </c>
      <c r="Q397" s="39">
        <f t="shared" si="80"/>
        <v>3598439</v>
      </c>
      <c r="R397" s="164"/>
    </row>
    <row r="398" spans="1:17" ht="25.5">
      <c r="A398" s="50" t="s">
        <v>267</v>
      </c>
      <c r="B398" s="28"/>
      <c r="C398" s="28"/>
      <c r="D398" s="28"/>
      <c r="E398" s="49" t="s">
        <v>139</v>
      </c>
      <c r="F398" s="27">
        <f t="shared" si="76"/>
        <v>3598439</v>
      </c>
      <c r="G398" s="27">
        <f>G399+G401</f>
        <v>3598439</v>
      </c>
      <c r="H398" s="27">
        <f>H399+H401</f>
        <v>2637861</v>
      </c>
      <c r="I398" s="27">
        <f>I399+I401</f>
        <v>98958</v>
      </c>
      <c r="J398" s="27">
        <f>J399+J401</f>
        <v>0</v>
      </c>
      <c r="K398" s="27">
        <f t="shared" si="78"/>
        <v>0</v>
      </c>
      <c r="L398" s="27">
        <f>L399+L401</f>
        <v>0</v>
      </c>
      <c r="M398" s="27">
        <f>M399+M401</f>
        <v>0</v>
      </c>
      <c r="N398" s="27">
        <f>N399+N401</f>
        <v>0</v>
      </c>
      <c r="O398" s="27">
        <f>O399+O401</f>
        <v>0</v>
      </c>
      <c r="P398" s="27">
        <f>P399+P401</f>
        <v>0</v>
      </c>
      <c r="Q398" s="27">
        <f t="shared" si="80"/>
        <v>3598439</v>
      </c>
    </row>
    <row r="399" spans="1:17" ht="12.75">
      <c r="A399" s="112" t="s">
        <v>691</v>
      </c>
      <c r="B399" s="112" t="s">
        <v>671</v>
      </c>
      <c r="C399" s="112" t="s">
        <v>972</v>
      </c>
      <c r="D399" s="112"/>
      <c r="E399" s="127" t="s">
        <v>673</v>
      </c>
      <c r="F399" s="27">
        <f t="shared" si="76"/>
        <v>3598439</v>
      </c>
      <c r="G399" s="114">
        <f>G400</f>
        <v>3598439</v>
      </c>
      <c r="H399" s="114">
        <f>H400</f>
        <v>2637861</v>
      </c>
      <c r="I399" s="114">
        <f>I400</f>
        <v>98958</v>
      </c>
      <c r="J399" s="114">
        <f>J400</f>
        <v>0</v>
      </c>
      <c r="K399" s="27">
        <f t="shared" si="78"/>
        <v>0</v>
      </c>
      <c r="L399" s="114">
        <f>L400</f>
        <v>0</v>
      </c>
      <c r="M399" s="114">
        <f>M400</f>
        <v>0</v>
      </c>
      <c r="N399" s="114">
        <f>N400</f>
        <v>0</v>
      </c>
      <c r="O399" s="114">
        <f>O400</f>
        <v>0</v>
      </c>
      <c r="P399" s="114">
        <f>P400</f>
        <v>0</v>
      </c>
      <c r="Q399" s="27">
        <f t="shared" si="80"/>
        <v>3598439</v>
      </c>
    </row>
    <row r="400" spans="1:17" ht="25.5">
      <c r="A400" s="50" t="s">
        <v>13</v>
      </c>
      <c r="B400" s="28" t="s">
        <v>33</v>
      </c>
      <c r="C400" s="50" t="s">
        <v>613</v>
      </c>
      <c r="D400" s="50" t="s">
        <v>574</v>
      </c>
      <c r="E400" s="51" t="s">
        <v>309</v>
      </c>
      <c r="F400" s="27">
        <f t="shared" si="76"/>
        <v>3598439</v>
      </c>
      <c r="G400" s="27">
        <f>3142900-29804+477582+7761</f>
        <v>3598439</v>
      </c>
      <c r="H400" s="27">
        <f>2303266-61217+389450+6362</f>
        <v>2637861</v>
      </c>
      <c r="I400" s="27">
        <v>98958</v>
      </c>
      <c r="J400" s="27"/>
      <c r="K400" s="27">
        <f t="shared" si="78"/>
        <v>0</v>
      </c>
      <c r="L400" s="27"/>
      <c r="M400" s="27"/>
      <c r="N400" s="27"/>
      <c r="O400" s="27"/>
      <c r="P400" s="27"/>
      <c r="Q400" s="27">
        <f t="shared" si="80"/>
        <v>3598439</v>
      </c>
    </row>
    <row r="401" spans="1:17" ht="28.5" customHeight="1" hidden="1">
      <c r="A401" s="112" t="s">
        <v>913</v>
      </c>
      <c r="B401" s="112"/>
      <c r="C401" s="112" t="s">
        <v>1110</v>
      </c>
      <c r="D401" s="112"/>
      <c r="E401" s="115" t="s">
        <v>914</v>
      </c>
      <c r="F401" s="27">
        <f t="shared" si="76"/>
        <v>0</v>
      </c>
      <c r="G401" s="114">
        <f>G402</f>
        <v>0</v>
      </c>
      <c r="H401" s="114">
        <f>H402</f>
        <v>0</v>
      </c>
      <c r="I401" s="114">
        <f>I402</f>
        <v>0</v>
      </c>
      <c r="J401" s="114">
        <f>J402</f>
        <v>0</v>
      </c>
      <c r="K401" s="27">
        <f t="shared" si="78"/>
        <v>0</v>
      </c>
      <c r="L401" s="114">
        <f>L402</f>
        <v>0</v>
      </c>
      <c r="M401" s="114">
        <f>M402</f>
        <v>0</v>
      </c>
      <c r="N401" s="114">
        <f>N402</f>
        <v>0</v>
      </c>
      <c r="O401" s="114">
        <f>O402</f>
        <v>0</v>
      </c>
      <c r="P401" s="114">
        <f>P402</f>
        <v>0</v>
      </c>
      <c r="Q401" s="27">
        <f t="shared" si="80"/>
        <v>0</v>
      </c>
    </row>
    <row r="402" spans="1:17" ht="15" customHeight="1" hidden="1">
      <c r="A402" s="50" t="s">
        <v>363</v>
      </c>
      <c r="B402" s="50" t="s">
        <v>140</v>
      </c>
      <c r="C402" s="50" t="s">
        <v>1111</v>
      </c>
      <c r="D402" s="50" t="s">
        <v>915</v>
      </c>
      <c r="E402" s="48" t="s">
        <v>268</v>
      </c>
      <c r="F402" s="27">
        <f t="shared" si="76"/>
        <v>0</v>
      </c>
      <c r="G402" s="27"/>
      <c r="H402" s="27"/>
      <c r="I402" s="27"/>
      <c r="J402" s="27"/>
      <c r="K402" s="27">
        <f t="shared" si="78"/>
        <v>0</v>
      </c>
      <c r="L402" s="27"/>
      <c r="M402" s="27"/>
      <c r="N402" s="27"/>
      <c r="O402" s="27"/>
      <c r="P402" s="27"/>
      <c r="Q402" s="27">
        <f t="shared" si="80"/>
        <v>0</v>
      </c>
    </row>
    <row r="403" spans="1:18" ht="25.5">
      <c r="A403" s="62" t="s">
        <v>269</v>
      </c>
      <c r="B403" s="62" t="s">
        <v>164</v>
      </c>
      <c r="C403" s="62" t="s">
        <v>164</v>
      </c>
      <c r="D403" s="62"/>
      <c r="E403" s="61" t="s">
        <v>130</v>
      </c>
      <c r="F403" s="39">
        <f t="shared" si="76"/>
        <v>2281054</v>
      </c>
      <c r="G403" s="39">
        <f>G404</f>
        <v>2281054</v>
      </c>
      <c r="H403" s="39">
        <f>H404</f>
        <v>1681991</v>
      </c>
      <c r="I403" s="39">
        <f>I404</f>
        <v>60025</v>
      </c>
      <c r="J403" s="39">
        <f>J404</f>
        <v>0</v>
      </c>
      <c r="K403" s="39">
        <f t="shared" si="78"/>
        <v>24114907</v>
      </c>
      <c r="L403" s="39">
        <f>L404</f>
        <v>503000</v>
      </c>
      <c r="M403" s="39">
        <f>M404</f>
        <v>0</v>
      </c>
      <c r="N403" s="39">
        <f>N404</f>
        <v>0</v>
      </c>
      <c r="O403" s="39">
        <f>O404</f>
        <v>23611907</v>
      </c>
      <c r="P403" s="39">
        <f>P404</f>
        <v>0</v>
      </c>
      <c r="Q403" s="40">
        <f t="shared" si="80"/>
        <v>26395961</v>
      </c>
      <c r="R403" s="164"/>
    </row>
    <row r="404" spans="1:17" ht="25.5" customHeight="1">
      <c r="A404" s="59" t="s">
        <v>270</v>
      </c>
      <c r="B404" s="31"/>
      <c r="C404" s="31"/>
      <c r="D404" s="31"/>
      <c r="E404" s="49" t="s">
        <v>130</v>
      </c>
      <c r="F404" s="26">
        <f t="shared" si="76"/>
        <v>2281054</v>
      </c>
      <c r="G404" s="26">
        <f>G405+G407+G409+G411+G414+G416+G419</f>
        <v>2281054</v>
      </c>
      <c r="H404" s="26">
        <f>H405+H407+H409+H411+H414+H416+H419</f>
        <v>1681991</v>
      </c>
      <c r="I404" s="26">
        <f>I405+I407+I409+I411+I414+I416+I419</f>
        <v>60025</v>
      </c>
      <c r="J404" s="26">
        <f>J405+J407+J409+J411+J414+J416+J419</f>
        <v>0</v>
      </c>
      <c r="K404" s="26">
        <f t="shared" si="78"/>
        <v>24114907</v>
      </c>
      <c r="L404" s="26">
        <f>L405+L407+L409+L411+L414+L416+L419</f>
        <v>503000</v>
      </c>
      <c r="M404" s="26">
        <f>M405+M407+M409+M411+M414+M416+M419</f>
        <v>0</v>
      </c>
      <c r="N404" s="26">
        <f>N405+N407+N409+N411+N414+N416+N419</f>
        <v>0</v>
      </c>
      <c r="O404" s="26">
        <f>O405+O407+O409+O411+O414+O416+O419</f>
        <v>23611907</v>
      </c>
      <c r="P404" s="26">
        <f>P405+P407+P409+P411+P414+P416+P419</f>
        <v>0</v>
      </c>
      <c r="Q404" s="26">
        <f t="shared" si="80"/>
        <v>26395961</v>
      </c>
    </row>
    <row r="405" spans="1:17" ht="12.75">
      <c r="A405" s="112" t="s">
        <v>692</v>
      </c>
      <c r="B405" s="111" t="s">
        <v>671</v>
      </c>
      <c r="C405" s="111" t="s">
        <v>972</v>
      </c>
      <c r="D405" s="111"/>
      <c r="E405" s="127" t="s">
        <v>673</v>
      </c>
      <c r="F405" s="26">
        <f aca="true" t="shared" si="83" ref="F405:F418">G405+J405</f>
        <v>2281054</v>
      </c>
      <c r="G405" s="123">
        <f>G406</f>
        <v>2281054</v>
      </c>
      <c r="H405" s="123">
        <f>H406</f>
        <v>1681991</v>
      </c>
      <c r="I405" s="123">
        <f>I406</f>
        <v>60025</v>
      </c>
      <c r="J405" s="123">
        <f>J406</f>
        <v>0</v>
      </c>
      <c r="K405" s="26">
        <f aca="true" t="shared" si="84" ref="K405:K418">L405+O405</f>
        <v>0</v>
      </c>
      <c r="L405" s="123">
        <f>L406</f>
        <v>0</v>
      </c>
      <c r="M405" s="123">
        <f>M406</f>
        <v>0</v>
      </c>
      <c r="N405" s="123">
        <f>N406</f>
        <v>0</v>
      </c>
      <c r="O405" s="123">
        <f>O406</f>
        <v>0</v>
      </c>
      <c r="P405" s="123">
        <f>P406</f>
        <v>0</v>
      </c>
      <c r="Q405" s="26">
        <f aca="true" t="shared" si="85" ref="Q405:Q418">F405+K405</f>
        <v>2281054</v>
      </c>
    </row>
    <row r="406" spans="1:17" ht="39.75" customHeight="1">
      <c r="A406" s="50" t="s">
        <v>14</v>
      </c>
      <c r="B406" s="28" t="s">
        <v>33</v>
      </c>
      <c r="C406" s="50" t="s">
        <v>613</v>
      </c>
      <c r="D406" s="50" t="s">
        <v>574</v>
      </c>
      <c r="E406" s="51" t="s">
        <v>966</v>
      </c>
      <c r="F406" s="26">
        <f t="shared" si="83"/>
        <v>2281054</v>
      </c>
      <c r="G406" s="27">
        <f>1833973-31267+17023+33830+422605+4890</f>
        <v>2281054</v>
      </c>
      <c r="H406" s="27">
        <f>1304632+26950+346400+4009</f>
        <v>1681991</v>
      </c>
      <c r="I406" s="27">
        <v>60025</v>
      </c>
      <c r="J406" s="27"/>
      <c r="K406" s="26">
        <f t="shared" si="84"/>
        <v>0</v>
      </c>
      <c r="L406" s="27"/>
      <c r="M406" s="27"/>
      <c r="N406" s="27"/>
      <c r="O406" s="27"/>
      <c r="P406" s="27"/>
      <c r="Q406" s="26">
        <f t="shared" si="85"/>
        <v>2281054</v>
      </c>
    </row>
    <row r="407" spans="1:17" ht="12.75" hidden="1">
      <c r="A407" s="112" t="s">
        <v>916</v>
      </c>
      <c r="B407" s="112" t="s">
        <v>628</v>
      </c>
      <c r="C407" s="112" t="s">
        <v>1020</v>
      </c>
      <c r="D407" s="112"/>
      <c r="E407" s="115" t="s">
        <v>630</v>
      </c>
      <c r="F407" s="26">
        <f t="shared" si="83"/>
        <v>0</v>
      </c>
      <c r="G407" s="114">
        <f>G408</f>
        <v>0</v>
      </c>
      <c r="H407" s="114">
        <f>H408</f>
        <v>0</v>
      </c>
      <c r="I407" s="114">
        <f>I408</f>
        <v>0</v>
      </c>
      <c r="J407" s="114">
        <f>J408</f>
        <v>0</v>
      </c>
      <c r="K407" s="26">
        <f t="shared" si="84"/>
        <v>0</v>
      </c>
      <c r="L407" s="114">
        <f>L408</f>
        <v>0</v>
      </c>
      <c r="M407" s="114">
        <f>M408</f>
        <v>0</v>
      </c>
      <c r="N407" s="114">
        <f>N408</f>
        <v>0</v>
      </c>
      <c r="O407" s="114">
        <f>O408</f>
        <v>0</v>
      </c>
      <c r="P407" s="114">
        <f>P408</f>
        <v>0</v>
      </c>
      <c r="Q407" s="26">
        <f t="shared" si="85"/>
        <v>0</v>
      </c>
    </row>
    <row r="408" spans="1:17" ht="25.5" hidden="1">
      <c r="A408" s="50" t="s">
        <v>516</v>
      </c>
      <c r="B408" s="50">
        <v>150101</v>
      </c>
      <c r="C408" s="50" t="s">
        <v>980</v>
      </c>
      <c r="D408" s="50" t="s">
        <v>576</v>
      </c>
      <c r="E408" s="48" t="s">
        <v>174</v>
      </c>
      <c r="F408" s="26">
        <f t="shared" si="83"/>
        <v>0</v>
      </c>
      <c r="G408" s="27"/>
      <c r="H408" s="27"/>
      <c r="I408" s="27"/>
      <c r="J408" s="27"/>
      <c r="K408" s="26">
        <f t="shared" si="84"/>
        <v>0</v>
      </c>
      <c r="L408" s="27"/>
      <c r="M408" s="27"/>
      <c r="N408" s="27"/>
      <c r="O408" s="27">
        <f>P408</f>
        <v>0</v>
      </c>
      <c r="P408" s="27">
        <f>10000000-10000000</f>
        <v>0</v>
      </c>
      <c r="Q408" s="26">
        <f t="shared" si="85"/>
        <v>0</v>
      </c>
    </row>
    <row r="409" spans="1:17" ht="25.5" customHeight="1" hidden="1">
      <c r="A409" s="112" t="s">
        <v>917</v>
      </c>
      <c r="B409" s="112" t="s">
        <v>617</v>
      </c>
      <c r="C409" s="112" t="s">
        <v>1091</v>
      </c>
      <c r="D409" s="112"/>
      <c r="E409" s="115" t="s">
        <v>619</v>
      </c>
      <c r="F409" s="26">
        <f t="shared" si="83"/>
        <v>0</v>
      </c>
      <c r="G409" s="114">
        <f>G410</f>
        <v>0</v>
      </c>
      <c r="H409" s="114">
        <f>H410</f>
        <v>0</v>
      </c>
      <c r="I409" s="114">
        <f>I410</f>
        <v>0</v>
      </c>
      <c r="J409" s="114">
        <f>J410</f>
        <v>0</v>
      </c>
      <c r="K409" s="26">
        <f t="shared" si="84"/>
        <v>0</v>
      </c>
      <c r="L409" s="114">
        <f>L410</f>
        <v>0</v>
      </c>
      <c r="M409" s="114">
        <f>M410</f>
        <v>0</v>
      </c>
      <c r="N409" s="114">
        <f>N410</f>
        <v>0</v>
      </c>
      <c r="O409" s="114">
        <f>O410</f>
        <v>0</v>
      </c>
      <c r="P409" s="114">
        <f>P410</f>
        <v>0</v>
      </c>
      <c r="Q409" s="26">
        <f t="shared" si="85"/>
        <v>0</v>
      </c>
    </row>
    <row r="410" spans="1:17" ht="27.75" customHeight="1" hidden="1">
      <c r="A410" s="50" t="s">
        <v>515</v>
      </c>
      <c r="B410" s="50" t="s">
        <v>95</v>
      </c>
      <c r="C410" s="50" t="s">
        <v>1112</v>
      </c>
      <c r="D410" s="50"/>
      <c r="E410" s="48" t="s">
        <v>259</v>
      </c>
      <c r="F410" s="26">
        <f t="shared" si="83"/>
        <v>0</v>
      </c>
      <c r="G410" s="27"/>
      <c r="H410" s="27"/>
      <c r="I410" s="27"/>
      <c r="J410" s="27"/>
      <c r="K410" s="26">
        <f t="shared" si="84"/>
        <v>0</v>
      </c>
      <c r="L410" s="27"/>
      <c r="M410" s="27"/>
      <c r="N410" s="27"/>
      <c r="O410" s="27"/>
      <c r="P410" s="27"/>
      <c r="Q410" s="26">
        <f t="shared" si="85"/>
        <v>0</v>
      </c>
    </row>
    <row r="411" spans="1:17" ht="28.5" customHeight="1" hidden="1">
      <c r="A411" s="112" t="s">
        <v>694</v>
      </c>
      <c r="B411" s="112" t="s">
        <v>693</v>
      </c>
      <c r="C411" s="112" t="s">
        <v>1113</v>
      </c>
      <c r="D411" s="112"/>
      <c r="E411" s="115" t="s">
        <v>696</v>
      </c>
      <c r="F411" s="26">
        <f t="shared" si="83"/>
        <v>0</v>
      </c>
      <c r="G411" s="114">
        <f aca="true" t="shared" si="86" ref="G411:J412">G412</f>
        <v>0</v>
      </c>
      <c r="H411" s="114">
        <f t="shared" si="86"/>
        <v>0</v>
      </c>
      <c r="I411" s="114">
        <f t="shared" si="86"/>
        <v>0</v>
      </c>
      <c r="J411" s="114">
        <f t="shared" si="86"/>
        <v>0</v>
      </c>
      <c r="K411" s="26">
        <f t="shared" si="84"/>
        <v>0</v>
      </c>
      <c r="L411" s="114">
        <f aca="true" t="shared" si="87" ref="L411:P412">L412</f>
        <v>0</v>
      </c>
      <c r="M411" s="114">
        <f t="shared" si="87"/>
        <v>0</v>
      </c>
      <c r="N411" s="114">
        <f t="shared" si="87"/>
        <v>0</v>
      </c>
      <c r="O411" s="114">
        <f t="shared" si="87"/>
        <v>0</v>
      </c>
      <c r="P411" s="114">
        <f t="shared" si="87"/>
        <v>0</v>
      </c>
      <c r="Q411" s="26">
        <f t="shared" si="85"/>
        <v>0</v>
      </c>
    </row>
    <row r="412" spans="1:17" ht="27.75" customHeight="1" hidden="1">
      <c r="A412" s="112" t="s">
        <v>695</v>
      </c>
      <c r="B412" s="112"/>
      <c r="C412" s="112" t="s">
        <v>1114</v>
      </c>
      <c r="D412" s="112"/>
      <c r="E412" s="115" t="s">
        <v>93</v>
      </c>
      <c r="F412" s="26">
        <f t="shared" si="83"/>
        <v>0</v>
      </c>
      <c r="G412" s="114">
        <f t="shared" si="86"/>
        <v>0</v>
      </c>
      <c r="H412" s="114">
        <f t="shared" si="86"/>
        <v>0</v>
      </c>
      <c r="I412" s="114">
        <f t="shared" si="86"/>
        <v>0</v>
      </c>
      <c r="J412" s="114">
        <f t="shared" si="86"/>
        <v>0</v>
      </c>
      <c r="K412" s="26">
        <f t="shared" si="84"/>
        <v>0</v>
      </c>
      <c r="L412" s="114">
        <f t="shared" si="87"/>
        <v>0</v>
      </c>
      <c r="M412" s="114">
        <f t="shared" si="87"/>
        <v>0</v>
      </c>
      <c r="N412" s="114">
        <f t="shared" si="87"/>
        <v>0</v>
      </c>
      <c r="O412" s="114">
        <f t="shared" si="87"/>
        <v>0</v>
      </c>
      <c r="P412" s="114">
        <f t="shared" si="87"/>
        <v>0</v>
      </c>
      <c r="Q412" s="26">
        <f t="shared" si="85"/>
        <v>0</v>
      </c>
    </row>
    <row r="413" spans="1:17" ht="25.5" hidden="1">
      <c r="A413" s="50" t="s">
        <v>513</v>
      </c>
      <c r="B413" s="50" t="s">
        <v>512</v>
      </c>
      <c r="C413" s="50" t="s">
        <v>1115</v>
      </c>
      <c r="D413" s="50" t="s">
        <v>587</v>
      </c>
      <c r="E413" s="51" t="s">
        <v>514</v>
      </c>
      <c r="F413" s="26">
        <f t="shared" si="83"/>
        <v>0</v>
      </c>
      <c r="G413" s="27"/>
      <c r="H413" s="27"/>
      <c r="I413" s="27"/>
      <c r="J413" s="27"/>
      <c r="K413" s="26">
        <f t="shared" si="84"/>
        <v>0</v>
      </c>
      <c r="L413" s="27"/>
      <c r="M413" s="27"/>
      <c r="N413" s="27"/>
      <c r="O413" s="27"/>
      <c r="P413" s="27"/>
      <c r="Q413" s="26">
        <f t="shared" si="85"/>
        <v>0</v>
      </c>
    </row>
    <row r="414" spans="1:17" ht="12.75" hidden="1">
      <c r="A414" s="106" t="s">
        <v>550</v>
      </c>
      <c r="B414" s="106" t="s">
        <v>527</v>
      </c>
      <c r="C414" s="106" t="s">
        <v>1011</v>
      </c>
      <c r="D414" s="106"/>
      <c r="E414" s="108" t="s">
        <v>528</v>
      </c>
      <c r="F414" s="26">
        <f t="shared" si="83"/>
        <v>0</v>
      </c>
      <c r="G414" s="105">
        <f>G415</f>
        <v>0</v>
      </c>
      <c r="H414" s="105">
        <f>H415</f>
        <v>0</v>
      </c>
      <c r="I414" s="105">
        <f>I415</f>
        <v>0</v>
      </c>
      <c r="J414" s="105">
        <f>J415</f>
        <v>0</v>
      </c>
      <c r="K414" s="26">
        <f t="shared" si="84"/>
        <v>0</v>
      </c>
      <c r="L414" s="105">
        <f>L415</f>
        <v>0</v>
      </c>
      <c r="M414" s="105">
        <f>M415</f>
        <v>0</v>
      </c>
      <c r="N414" s="105">
        <f>N415</f>
        <v>0</v>
      </c>
      <c r="O414" s="105">
        <f>O415</f>
        <v>0</v>
      </c>
      <c r="P414" s="105">
        <f>P415</f>
        <v>0</v>
      </c>
      <c r="Q414" s="26">
        <f t="shared" si="85"/>
        <v>0</v>
      </c>
    </row>
    <row r="415" spans="1:17" ht="12.75" hidden="1">
      <c r="A415" s="50" t="s">
        <v>567</v>
      </c>
      <c r="B415" s="50" t="s">
        <v>527</v>
      </c>
      <c r="C415" s="50" t="s">
        <v>1012</v>
      </c>
      <c r="D415" s="50" t="s">
        <v>586</v>
      </c>
      <c r="E415" s="83" t="s">
        <v>568</v>
      </c>
      <c r="F415" s="26">
        <f t="shared" si="83"/>
        <v>0</v>
      </c>
      <c r="G415" s="27"/>
      <c r="H415" s="27"/>
      <c r="I415" s="27"/>
      <c r="J415" s="27"/>
      <c r="K415" s="26">
        <f t="shared" si="84"/>
        <v>0</v>
      </c>
      <c r="L415" s="27"/>
      <c r="M415" s="27"/>
      <c r="N415" s="27"/>
      <c r="O415" s="27"/>
      <c r="P415" s="27"/>
      <c r="Q415" s="26">
        <f t="shared" si="85"/>
        <v>0</v>
      </c>
    </row>
    <row r="416" spans="1:17" ht="25.5" hidden="1">
      <c r="A416" s="112" t="s">
        <v>867</v>
      </c>
      <c r="B416" s="112" t="s">
        <v>634</v>
      </c>
      <c r="C416" s="112" t="s">
        <v>1021</v>
      </c>
      <c r="D416" s="112"/>
      <c r="E416" s="113" t="s">
        <v>635</v>
      </c>
      <c r="F416" s="26">
        <f t="shared" si="83"/>
        <v>0</v>
      </c>
      <c r="G416" s="114">
        <f>G417</f>
        <v>0</v>
      </c>
      <c r="H416" s="114">
        <f aca="true" t="shared" si="88" ref="H416:J417">H417</f>
        <v>0</v>
      </c>
      <c r="I416" s="114">
        <f t="shared" si="88"/>
        <v>0</v>
      </c>
      <c r="J416" s="114">
        <f t="shared" si="88"/>
        <v>0</v>
      </c>
      <c r="K416" s="26">
        <f t="shared" si="84"/>
        <v>0</v>
      </c>
      <c r="L416" s="114">
        <f aca="true" t="shared" si="89" ref="L416:P417">L417</f>
        <v>0</v>
      </c>
      <c r="M416" s="114">
        <f t="shared" si="89"/>
        <v>0</v>
      </c>
      <c r="N416" s="114">
        <f t="shared" si="89"/>
        <v>0</v>
      </c>
      <c r="O416" s="114">
        <f t="shared" si="89"/>
        <v>0</v>
      </c>
      <c r="P416" s="114">
        <f t="shared" si="89"/>
        <v>0</v>
      </c>
      <c r="Q416" s="26">
        <f t="shared" si="85"/>
        <v>0</v>
      </c>
    </row>
    <row r="417" spans="1:17" ht="12.75" hidden="1">
      <c r="A417" s="106" t="s">
        <v>868</v>
      </c>
      <c r="B417" s="106" t="s">
        <v>54</v>
      </c>
      <c r="C417" s="106" t="s">
        <v>1093</v>
      </c>
      <c r="D417" s="106"/>
      <c r="E417" s="129" t="s">
        <v>416</v>
      </c>
      <c r="F417" s="26">
        <f t="shared" si="83"/>
        <v>0</v>
      </c>
      <c r="G417" s="105">
        <f>G418</f>
        <v>0</v>
      </c>
      <c r="H417" s="105">
        <f t="shared" si="88"/>
        <v>0</v>
      </c>
      <c r="I417" s="105">
        <f t="shared" si="88"/>
        <v>0</v>
      </c>
      <c r="J417" s="105">
        <f t="shared" si="88"/>
        <v>0</v>
      </c>
      <c r="K417" s="26">
        <f t="shared" si="84"/>
        <v>0</v>
      </c>
      <c r="L417" s="105">
        <f t="shared" si="89"/>
        <v>0</v>
      </c>
      <c r="M417" s="105">
        <f t="shared" si="89"/>
        <v>0</v>
      </c>
      <c r="N417" s="105">
        <f t="shared" si="89"/>
        <v>0</v>
      </c>
      <c r="O417" s="105">
        <f t="shared" si="89"/>
        <v>0</v>
      </c>
      <c r="P417" s="105">
        <f t="shared" si="89"/>
        <v>0</v>
      </c>
      <c r="Q417" s="26">
        <f t="shared" si="85"/>
        <v>0</v>
      </c>
    </row>
    <row r="418" spans="1:17" ht="64.5" customHeight="1" hidden="1">
      <c r="A418" s="50" t="s">
        <v>462</v>
      </c>
      <c r="B418" s="50" t="s">
        <v>54</v>
      </c>
      <c r="C418" s="50" t="s">
        <v>985</v>
      </c>
      <c r="D418" s="50"/>
      <c r="E418" s="83" t="s">
        <v>433</v>
      </c>
      <c r="F418" s="26">
        <f t="shared" si="83"/>
        <v>0</v>
      </c>
      <c r="G418" s="27"/>
      <c r="H418" s="27"/>
      <c r="I418" s="27"/>
      <c r="J418" s="27"/>
      <c r="K418" s="26">
        <f t="shared" si="84"/>
        <v>0</v>
      </c>
      <c r="L418" s="27"/>
      <c r="M418" s="27"/>
      <c r="N418" s="27"/>
      <c r="O418" s="27"/>
      <c r="P418" s="27"/>
      <c r="Q418" s="26">
        <f t="shared" si="85"/>
        <v>0</v>
      </c>
    </row>
    <row r="419" spans="1:17" ht="12.75">
      <c r="A419" s="112" t="s">
        <v>697</v>
      </c>
      <c r="B419" s="112" t="s">
        <v>98</v>
      </c>
      <c r="C419" s="112" t="s">
        <v>1015</v>
      </c>
      <c r="D419" s="112"/>
      <c r="E419" s="122" t="s">
        <v>99</v>
      </c>
      <c r="F419" s="26">
        <f aca="true" t="shared" si="90" ref="F419:F424">G419+J419</f>
        <v>0</v>
      </c>
      <c r="G419" s="114">
        <f>G420+G421</f>
        <v>0</v>
      </c>
      <c r="H419" s="114">
        <f>H420+H421</f>
        <v>0</v>
      </c>
      <c r="I419" s="114">
        <f>I420+I421</f>
        <v>0</v>
      </c>
      <c r="J419" s="114">
        <f>J420+J421</f>
        <v>0</v>
      </c>
      <c r="K419" s="26">
        <f aca="true" t="shared" si="91" ref="K419:K424">L419+O419</f>
        <v>24114907</v>
      </c>
      <c r="L419" s="114">
        <f>L420+L421</f>
        <v>503000</v>
      </c>
      <c r="M419" s="114">
        <f>M420+M421</f>
        <v>0</v>
      </c>
      <c r="N419" s="114">
        <f>N420+N421</f>
        <v>0</v>
      </c>
      <c r="O419" s="114">
        <f>O420+O421</f>
        <v>23611907</v>
      </c>
      <c r="P419" s="114">
        <f>P420+P421</f>
        <v>0</v>
      </c>
      <c r="Q419" s="26">
        <f aca="true" t="shared" si="92" ref="Q419:Q424">F419+K419</f>
        <v>24114907</v>
      </c>
    </row>
    <row r="420" spans="1:17" ht="25.5">
      <c r="A420" s="50" t="s">
        <v>570</v>
      </c>
      <c r="B420" s="28" t="s">
        <v>86</v>
      </c>
      <c r="C420" s="50" t="s">
        <v>1016</v>
      </c>
      <c r="D420" s="50" t="s">
        <v>587</v>
      </c>
      <c r="E420" s="25" t="s">
        <v>93</v>
      </c>
      <c r="F420" s="26">
        <f t="shared" si="90"/>
        <v>0</v>
      </c>
      <c r="G420" s="27"/>
      <c r="H420" s="27"/>
      <c r="I420" s="27"/>
      <c r="J420" s="27"/>
      <c r="K420" s="26">
        <f t="shared" si="91"/>
        <v>24114907</v>
      </c>
      <c r="L420" s="27">
        <f>658000-155000</f>
        <v>503000</v>
      </c>
      <c r="M420" s="27"/>
      <c r="N420" s="27"/>
      <c r="O420" s="27">
        <f>15634589+1777326+10000000-4870000-3750000+4870000-50008</f>
        <v>23611907</v>
      </c>
      <c r="P420" s="27"/>
      <c r="Q420" s="26">
        <f t="shared" si="92"/>
        <v>24114907</v>
      </c>
    </row>
    <row r="421" spans="1:17" ht="50.25" customHeight="1" hidden="1">
      <c r="A421" s="85" t="s">
        <v>918</v>
      </c>
      <c r="B421" s="93" t="s">
        <v>53</v>
      </c>
      <c r="C421" s="93" t="s">
        <v>992</v>
      </c>
      <c r="D421" s="93"/>
      <c r="E421" s="94" t="s">
        <v>431</v>
      </c>
      <c r="F421" s="26">
        <f t="shared" si="90"/>
        <v>0</v>
      </c>
      <c r="G421" s="27">
        <f>G422</f>
        <v>0</v>
      </c>
      <c r="H421" s="27">
        <f>H422</f>
        <v>0</v>
      </c>
      <c r="I421" s="27">
        <f>I422</f>
        <v>0</v>
      </c>
      <c r="J421" s="27">
        <f>J422</f>
        <v>0</v>
      </c>
      <c r="K421" s="26">
        <f t="shared" si="91"/>
        <v>0</v>
      </c>
      <c r="L421" s="27">
        <f>L422</f>
        <v>0</v>
      </c>
      <c r="M421" s="27">
        <f>M422</f>
        <v>0</v>
      </c>
      <c r="N421" s="27">
        <f>N422</f>
        <v>0</v>
      </c>
      <c r="O421" s="27">
        <f>O422</f>
        <v>0</v>
      </c>
      <c r="P421" s="27">
        <f>P422</f>
        <v>0</v>
      </c>
      <c r="Q421" s="26">
        <f t="shared" si="92"/>
        <v>0</v>
      </c>
    </row>
    <row r="422" spans="1:17" ht="27" customHeight="1" hidden="1">
      <c r="A422" s="7" t="s">
        <v>919</v>
      </c>
      <c r="B422" s="7" t="s">
        <v>53</v>
      </c>
      <c r="C422" s="7" t="s">
        <v>993</v>
      </c>
      <c r="D422" s="7"/>
      <c r="E422" s="48" t="s">
        <v>175</v>
      </c>
      <c r="F422" s="26">
        <f t="shared" si="90"/>
        <v>0</v>
      </c>
      <c r="G422" s="27"/>
      <c r="H422" s="27"/>
      <c r="I422" s="27"/>
      <c r="J422" s="27"/>
      <c r="K422" s="26">
        <f t="shared" si="91"/>
        <v>0</v>
      </c>
      <c r="L422" s="27"/>
      <c r="M422" s="27"/>
      <c r="N422" s="27"/>
      <c r="O422" s="27"/>
      <c r="P422" s="27"/>
      <c r="Q422" s="26">
        <f t="shared" si="92"/>
        <v>0</v>
      </c>
    </row>
    <row r="423" spans="1:18" ht="39" customHeight="1">
      <c r="A423" s="62" t="s">
        <v>271</v>
      </c>
      <c r="B423" s="62" t="s">
        <v>162</v>
      </c>
      <c r="C423" s="62" t="s">
        <v>162</v>
      </c>
      <c r="D423" s="62"/>
      <c r="E423" s="61" t="s">
        <v>132</v>
      </c>
      <c r="F423" s="39">
        <f t="shared" si="90"/>
        <v>75345932</v>
      </c>
      <c r="G423" s="39">
        <f>G424</f>
        <v>75345932</v>
      </c>
      <c r="H423" s="39">
        <f>H424</f>
        <v>1784109</v>
      </c>
      <c r="I423" s="39">
        <f>I424</f>
        <v>33563</v>
      </c>
      <c r="J423" s="39">
        <f>J424</f>
        <v>0</v>
      </c>
      <c r="K423" s="39">
        <f t="shared" si="91"/>
        <v>363359358</v>
      </c>
      <c r="L423" s="39">
        <f>L424</f>
        <v>0</v>
      </c>
      <c r="M423" s="39">
        <f>M424</f>
        <v>0</v>
      </c>
      <c r="N423" s="39">
        <f>N424</f>
        <v>0</v>
      </c>
      <c r="O423" s="39">
        <f>O424</f>
        <v>363359358</v>
      </c>
      <c r="P423" s="39">
        <f>P424</f>
        <v>363334358</v>
      </c>
      <c r="Q423" s="40">
        <f t="shared" si="92"/>
        <v>438705290</v>
      </c>
      <c r="R423" s="164"/>
    </row>
    <row r="424" spans="1:17" ht="38.25">
      <c r="A424" s="50" t="s">
        <v>272</v>
      </c>
      <c r="B424" s="28"/>
      <c r="C424" s="28"/>
      <c r="D424" s="28"/>
      <c r="E424" s="51" t="s">
        <v>132</v>
      </c>
      <c r="F424" s="27">
        <f t="shared" si="90"/>
        <v>75345932</v>
      </c>
      <c r="G424" s="27">
        <f>G425+G427+G429+G431+G435+G438+G440</f>
        <v>75345932</v>
      </c>
      <c r="H424" s="27">
        <f>H425+H427+H429+H431+H435+H438+H440</f>
        <v>1784109</v>
      </c>
      <c r="I424" s="27">
        <f>I425+I427+I429+I431+I435+I438+I440</f>
        <v>33563</v>
      </c>
      <c r="J424" s="27">
        <f>J425+J427+J429+J431+J435+J438+J440</f>
        <v>0</v>
      </c>
      <c r="K424" s="27">
        <f t="shared" si="91"/>
        <v>363359358</v>
      </c>
      <c r="L424" s="27">
        <f>L425+L427+L429+L431+L435+L438+L440+L444</f>
        <v>0</v>
      </c>
      <c r="M424" s="27">
        <f>M425+M427+M429+M431+M435+M438+M440+M444</f>
        <v>0</v>
      </c>
      <c r="N424" s="27">
        <f>N425+N427+N429+N431+N435+N438+N440+N444</f>
        <v>0</v>
      </c>
      <c r="O424" s="27">
        <f>O425+O427+O429+O431+O435+O438+O440+O444</f>
        <v>363359358</v>
      </c>
      <c r="P424" s="27">
        <f>P425+P427+P429+P431+P435+P438+P440</f>
        <v>363334358</v>
      </c>
      <c r="Q424" s="27">
        <f t="shared" si="92"/>
        <v>438705290</v>
      </c>
    </row>
    <row r="425" spans="1:17" ht="12.75">
      <c r="A425" s="112" t="s">
        <v>698</v>
      </c>
      <c r="B425" s="112" t="s">
        <v>671</v>
      </c>
      <c r="C425" s="112" t="s">
        <v>972</v>
      </c>
      <c r="D425" s="112"/>
      <c r="E425" s="113" t="s">
        <v>673</v>
      </c>
      <c r="F425" s="27">
        <f aca="true" t="shared" si="93" ref="F425:F445">G425+J425</f>
        <v>2314849</v>
      </c>
      <c r="G425" s="114">
        <f>G426</f>
        <v>2314849</v>
      </c>
      <c r="H425" s="114">
        <f>H426</f>
        <v>1784109</v>
      </c>
      <c r="I425" s="114">
        <f>I426</f>
        <v>33563</v>
      </c>
      <c r="J425" s="114">
        <f>J426</f>
        <v>0</v>
      </c>
      <c r="K425" s="27">
        <f aca="true" t="shared" si="94" ref="K425:K445">L425+O425</f>
        <v>0</v>
      </c>
      <c r="L425" s="114">
        <f>L426</f>
        <v>0</v>
      </c>
      <c r="M425" s="114">
        <f>M426</f>
        <v>0</v>
      </c>
      <c r="N425" s="114">
        <f>N426</f>
        <v>0</v>
      </c>
      <c r="O425" s="114">
        <f>O426</f>
        <v>0</v>
      </c>
      <c r="P425" s="114">
        <f>P426</f>
        <v>0</v>
      </c>
      <c r="Q425" s="27">
        <f aca="true" t="shared" si="95" ref="Q425:Q445">F425+K425</f>
        <v>2314849</v>
      </c>
    </row>
    <row r="426" spans="1:17" ht="26.25" customHeight="1">
      <c r="A426" s="50" t="s">
        <v>15</v>
      </c>
      <c r="B426" s="28" t="s">
        <v>33</v>
      </c>
      <c r="C426" s="50" t="s">
        <v>613</v>
      </c>
      <c r="D426" s="50" t="s">
        <v>574</v>
      </c>
      <c r="E426" s="51" t="s">
        <v>1147</v>
      </c>
      <c r="F426" s="27">
        <f t="shared" si="93"/>
        <v>2314849</v>
      </c>
      <c r="G426" s="27">
        <f>1820084+61412+427933+5420</f>
        <v>2314849</v>
      </c>
      <c r="H426" s="27">
        <f>1377076+50338+352252+4443</f>
        <v>1784109</v>
      </c>
      <c r="I426" s="27">
        <v>33563</v>
      </c>
      <c r="J426" s="27"/>
      <c r="K426" s="27">
        <f t="shared" si="94"/>
        <v>0</v>
      </c>
      <c r="L426" s="27"/>
      <c r="M426" s="27"/>
      <c r="N426" s="27"/>
      <c r="O426" s="27"/>
      <c r="P426" s="27"/>
      <c r="Q426" s="27">
        <f t="shared" si="95"/>
        <v>2314849</v>
      </c>
    </row>
    <row r="427" spans="1:17" ht="13.5" customHeight="1">
      <c r="A427" s="112" t="s">
        <v>701</v>
      </c>
      <c r="B427" s="112" t="s">
        <v>628</v>
      </c>
      <c r="C427" s="112" t="s">
        <v>1020</v>
      </c>
      <c r="D427" s="112"/>
      <c r="E427" s="113" t="s">
        <v>630</v>
      </c>
      <c r="F427" s="27">
        <f t="shared" si="93"/>
        <v>0</v>
      </c>
      <c r="G427" s="114">
        <f>G428</f>
        <v>0</v>
      </c>
      <c r="H427" s="114">
        <f>H428</f>
        <v>0</v>
      </c>
      <c r="I427" s="114">
        <f>I428</f>
        <v>0</v>
      </c>
      <c r="J427" s="114">
        <f>J428</f>
        <v>0</v>
      </c>
      <c r="K427" s="27">
        <f t="shared" si="94"/>
        <v>241556346</v>
      </c>
      <c r="L427" s="114">
        <f>L428</f>
        <v>0</v>
      </c>
      <c r="M427" s="114">
        <f>M428</f>
        <v>0</v>
      </c>
      <c r="N427" s="114">
        <f>N428</f>
        <v>0</v>
      </c>
      <c r="O427" s="114">
        <f>O428</f>
        <v>241556346</v>
      </c>
      <c r="P427" s="114">
        <f>P428</f>
        <v>241556346</v>
      </c>
      <c r="Q427" s="27">
        <f t="shared" si="95"/>
        <v>241556346</v>
      </c>
    </row>
    <row r="428" spans="1:17" ht="29.25" customHeight="1">
      <c r="A428" s="50" t="s">
        <v>474</v>
      </c>
      <c r="B428" s="50">
        <v>150101</v>
      </c>
      <c r="C428" s="50" t="s">
        <v>980</v>
      </c>
      <c r="D428" s="50" t="s">
        <v>576</v>
      </c>
      <c r="E428" s="48" t="s">
        <v>174</v>
      </c>
      <c r="F428" s="27">
        <f t="shared" si="93"/>
        <v>0</v>
      </c>
      <c r="G428" s="27"/>
      <c r="H428" s="27"/>
      <c r="I428" s="27"/>
      <c r="J428" s="27"/>
      <c r="K428" s="27">
        <f t="shared" si="94"/>
        <v>241556346</v>
      </c>
      <c r="L428" s="27"/>
      <c r="M428" s="27"/>
      <c r="N428" s="27"/>
      <c r="O428" s="27">
        <f>P428</f>
        <v>241556346</v>
      </c>
      <c r="P428" s="27">
        <f>1571658+205000000+196372000-400000-20000000-45972000-27627251-20000000+874972+605329-40000000-7868362-1000000-77875910-17740970+77875910+17740970</f>
        <v>241556346</v>
      </c>
      <c r="Q428" s="27">
        <f t="shared" si="95"/>
        <v>241556346</v>
      </c>
    </row>
    <row r="429" spans="1:17" ht="38.25">
      <c r="A429" s="112" t="s">
        <v>702</v>
      </c>
      <c r="B429" s="112" t="s">
        <v>643</v>
      </c>
      <c r="C429" s="112" t="s">
        <v>1107</v>
      </c>
      <c r="D429" s="112"/>
      <c r="E429" s="115" t="s">
        <v>669</v>
      </c>
      <c r="F429" s="27">
        <f t="shared" si="93"/>
        <v>68800000</v>
      </c>
      <c r="G429" s="114">
        <f>G430</f>
        <v>68800000</v>
      </c>
      <c r="H429" s="114">
        <f>H430</f>
        <v>0</v>
      </c>
      <c r="I429" s="114">
        <f>I430</f>
        <v>0</v>
      </c>
      <c r="J429" s="114">
        <f>J430</f>
        <v>0</v>
      </c>
      <c r="K429" s="27">
        <f t="shared" si="94"/>
        <v>0</v>
      </c>
      <c r="L429" s="114">
        <f>L430</f>
        <v>0</v>
      </c>
      <c r="M429" s="114">
        <f>M430</f>
        <v>0</v>
      </c>
      <c r="N429" s="114">
        <f>N430</f>
        <v>0</v>
      </c>
      <c r="O429" s="114">
        <f>O430</f>
        <v>0</v>
      </c>
      <c r="P429" s="114">
        <f>P430</f>
        <v>0</v>
      </c>
      <c r="Q429" s="27">
        <f t="shared" si="95"/>
        <v>68800000</v>
      </c>
    </row>
    <row r="430" spans="1:17" ht="25.5">
      <c r="A430" s="50" t="s">
        <v>483</v>
      </c>
      <c r="B430" s="28" t="s">
        <v>117</v>
      </c>
      <c r="C430" s="50" t="s">
        <v>1116</v>
      </c>
      <c r="D430" s="50" t="s">
        <v>611</v>
      </c>
      <c r="E430" s="25" t="s">
        <v>121</v>
      </c>
      <c r="F430" s="27">
        <f t="shared" si="93"/>
        <v>68800000</v>
      </c>
      <c r="G430" s="27">
        <f>60000000-1200000+10000000</f>
        <v>68800000</v>
      </c>
      <c r="H430" s="27"/>
      <c r="I430" s="27"/>
      <c r="J430" s="27"/>
      <c r="K430" s="27">
        <f t="shared" si="94"/>
        <v>0</v>
      </c>
      <c r="L430" s="27"/>
      <c r="M430" s="27"/>
      <c r="N430" s="27"/>
      <c r="O430" s="27"/>
      <c r="P430" s="27"/>
      <c r="Q430" s="27">
        <f t="shared" si="95"/>
        <v>68800000</v>
      </c>
    </row>
    <row r="431" spans="1:17" ht="25.5" customHeight="1">
      <c r="A431" s="85" t="s">
        <v>274</v>
      </c>
      <c r="B431" s="85" t="s">
        <v>330</v>
      </c>
      <c r="C431" s="85" t="s">
        <v>1117</v>
      </c>
      <c r="D431" s="85" t="s">
        <v>610</v>
      </c>
      <c r="E431" s="87" t="s">
        <v>417</v>
      </c>
      <c r="F431" s="88">
        <f t="shared" si="93"/>
        <v>598500</v>
      </c>
      <c r="G431" s="88">
        <f>G432+G433+G434</f>
        <v>598500</v>
      </c>
      <c r="H431" s="88">
        <f>H432+H433+H434</f>
        <v>0</v>
      </c>
      <c r="I431" s="88">
        <f>I432+I433+I434</f>
        <v>0</v>
      </c>
      <c r="J431" s="88">
        <f>J432+J433+J434</f>
        <v>0</v>
      </c>
      <c r="K431" s="27">
        <f t="shared" si="94"/>
        <v>30124791</v>
      </c>
      <c r="L431" s="88">
        <f>L432+L433+L434</f>
        <v>0</v>
      </c>
      <c r="M431" s="88">
        <f>M432+M433+M434</f>
        <v>0</v>
      </c>
      <c r="N431" s="88">
        <f>N432+N433+N434</f>
        <v>0</v>
      </c>
      <c r="O431" s="88">
        <f>O432+O433+O434</f>
        <v>30124791</v>
      </c>
      <c r="P431" s="88">
        <f>P432+P433+P434</f>
        <v>30124791</v>
      </c>
      <c r="Q431" s="88">
        <f t="shared" si="95"/>
        <v>30723291</v>
      </c>
    </row>
    <row r="432" spans="1:17" s="169" customFormat="1" ht="12.75" hidden="1">
      <c r="A432" s="170" t="s">
        <v>392</v>
      </c>
      <c r="B432" s="170" t="s">
        <v>330</v>
      </c>
      <c r="C432" s="170" t="s">
        <v>1118</v>
      </c>
      <c r="D432" s="170" t="s">
        <v>610</v>
      </c>
      <c r="E432" s="179" t="s">
        <v>1226</v>
      </c>
      <c r="F432" s="173">
        <f t="shared" si="93"/>
        <v>0</v>
      </c>
      <c r="G432" s="173"/>
      <c r="H432" s="173"/>
      <c r="I432" s="173"/>
      <c r="J432" s="173"/>
      <c r="K432" s="173">
        <f t="shared" si="94"/>
        <v>0</v>
      </c>
      <c r="L432" s="173"/>
      <c r="M432" s="173"/>
      <c r="N432" s="173"/>
      <c r="O432" s="173">
        <f>P432</f>
        <v>0</v>
      </c>
      <c r="P432" s="173">
        <f>17740970-17740970+77875910+17740970-77875910-17740970</f>
        <v>0</v>
      </c>
      <c r="Q432" s="173">
        <f t="shared" si="95"/>
        <v>0</v>
      </c>
    </row>
    <row r="433" spans="1:17" s="169" customFormat="1" ht="25.5" hidden="1">
      <c r="A433" s="170" t="s">
        <v>475</v>
      </c>
      <c r="B433" s="170" t="s">
        <v>330</v>
      </c>
      <c r="C433" s="170" t="s">
        <v>1119</v>
      </c>
      <c r="D433" s="170" t="s">
        <v>610</v>
      </c>
      <c r="E433" s="179" t="s">
        <v>476</v>
      </c>
      <c r="F433" s="173">
        <f t="shared" si="93"/>
        <v>0</v>
      </c>
      <c r="G433" s="173">
        <f>19245753-19245753</f>
        <v>0</v>
      </c>
      <c r="H433" s="173"/>
      <c r="I433" s="173"/>
      <c r="J433" s="173"/>
      <c r="K433" s="173">
        <f t="shared" si="94"/>
        <v>21256429</v>
      </c>
      <c r="L433" s="173"/>
      <c r="M433" s="173"/>
      <c r="N433" s="173"/>
      <c r="O433" s="173">
        <f>P433</f>
        <v>21256429</v>
      </c>
      <c r="P433" s="173">
        <f>20000000-19245753+1256429+19245753</f>
        <v>21256429</v>
      </c>
      <c r="Q433" s="173">
        <f t="shared" si="95"/>
        <v>21256429</v>
      </c>
    </row>
    <row r="434" spans="1:17" s="169" customFormat="1" ht="42.75" customHeight="1" hidden="1">
      <c r="A434" s="170" t="s">
        <v>851</v>
      </c>
      <c r="B434" s="170" t="s">
        <v>330</v>
      </c>
      <c r="C434" s="170" t="s">
        <v>1120</v>
      </c>
      <c r="D434" s="170" t="s">
        <v>610</v>
      </c>
      <c r="E434" s="179" t="s">
        <v>852</v>
      </c>
      <c r="F434" s="173">
        <f t="shared" si="93"/>
        <v>598500</v>
      </c>
      <c r="G434" s="173">
        <f>1200000-601500</f>
        <v>598500</v>
      </c>
      <c r="H434" s="173"/>
      <c r="I434" s="173"/>
      <c r="J434" s="173"/>
      <c r="K434" s="173">
        <f t="shared" si="94"/>
        <v>8868362</v>
      </c>
      <c r="L434" s="173"/>
      <c r="M434" s="173"/>
      <c r="N434" s="173"/>
      <c r="O434" s="173">
        <f>P434</f>
        <v>8868362</v>
      </c>
      <c r="P434" s="173">
        <f>7868362+1000000</f>
        <v>8868362</v>
      </c>
      <c r="Q434" s="173">
        <f t="shared" si="95"/>
        <v>9466862</v>
      </c>
    </row>
    <row r="435" spans="1:17" ht="27.75" customHeight="1">
      <c r="A435" s="93" t="s">
        <v>506</v>
      </c>
      <c r="B435" s="93" t="s">
        <v>500</v>
      </c>
      <c r="C435" s="93" t="s">
        <v>1121</v>
      </c>
      <c r="D435" s="93" t="s">
        <v>1191</v>
      </c>
      <c r="E435" s="100" t="s">
        <v>507</v>
      </c>
      <c r="F435" s="27">
        <f t="shared" si="93"/>
        <v>3632583</v>
      </c>
      <c r="G435" s="88">
        <f>3223822+408761</f>
        <v>3632583</v>
      </c>
      <c r="H435" s="88">
        <f>H437</f>
        <v>0</v>
      </c>
      <c r="I435" s="88">
        <f>I437</f>
        <v>0</v>
      </c>
      <c r="J435" s="88">
        <f>J437</f>
        <v>0</v>
      </c>
      <c r="K435" s="27">
        <f t="shared" si="94"/>
        <v>42533617</v>
      </c>
      <c r="L435" s="88">
        <f>L437</f>
        <v>0</v>
      </c>
      <c r="M435" s="88">
        <f>M437</f>
        <v>0</v>
      </c>
      <c r="N435" s="88">
        <f>N437</f>
        <v>0</v>
      </c>
      <c r="O435" s="88">
        <f>P435</f>
        <v>42533617</v>
      </c>
      <c r="P435" s="88">
        <f>42942378-408761</f>
        <v>42533617</v>
      </c>
      <c r="Q435" s="27">
        <f t="shared" si="95"/>
        <v>46166200</v>
      </c>
    </row>
    <row r="436" spans="1:17" ht="27.75" customHeight="1" hidden="1">
      <c r="A436" s="93"/>
      <c r="B436" s="93"/>
      <c r="C436" s="93"/>
      <c r="D436" s="93"/>
      <c r="E436" s="100"/>
      <c r="F436" s="27"/>
      <c r="G436" s="88"/>
      <c r="H436" s="88"/>
      <c r="I436" s="88"/>
      <c r="J436" s="88"/>
      <c r="K436" s="27"/>
      <c r="L436" s="88"/>
      <c r="M436" s="88"/>
      <c r="N436" s="88"/>
      <c r="O436" s="88"/>
      <c r="P436" s="88"/>
      <c r="Q436" s="27"/>
    </row>
    <row r="437" spans="1:17" s="169" customFormat="1" ht="25.5" customHeight="1" hidden="1">
      <c r="A437" s="170" t="s">
        <v>508</v>
      </c>
      <c r="B437" s="170" t="s">
        <v>500</v>
      </c>
      <c r="C437" s="170" t="s">
        <v>1122</v>
      </c>
      <c r="D437" s="170"/>
      <c r="E437" s="178" t="s">
        <v>509</v>
      </c>
      <c r="F437" s="173">
        <f t="shared" si="93"/>
        <v>0</v>
      </c>
      <c r="G437" s="176"/>
      <c r="H437" s="176"/>
      <c r="I437" s="176"/>
      <c r="J437" s="176"/>
      <c r="K437" s="173">
        <f t="shared" si="94"/>
        <v>0</v>
      </c>
      <c r="L437" s="176"/>
      <c r="M437" s="176"/>
      <c r="N437" s="176"/>
      <c r="O437" s="176"/>
      <c r="P437" s="176"/>
      <c r="Q437" s="173">
        <f t="shared" si="95"/>
        <v>0</v>
      </c>
    </row>
    <row r="438" spans="1:17" ht="25.5">
      <c r="A438" s="112" t="s">
        <v>703</v>
      </c>
      <c r="B438" s="111" t="s">
        <v>617</v>
      </c>
      <c r="C438" s="111" t="s">
        <v>1091</v>
      </c>
      <c r="D438" s="111"/>
      <c r="E438" s="122" t="s">
        <v>619</v>
      </c>
      <c r="F438" s="27">
        <f t="shared" si="93"/>
        <v>0</v>
      </c>
      <c r="G438" s="114">
        <f>G439</f>
        <v>0</v>
      </c>
      <c r="H438" s="114">
        <f>H439</f>
        <v>0</v>
      </c>
      <c r="I438" s="114">
        <f>I439</f>
        <v>0</v>
      </c>
      <c r="J438" s="114">
        <f>J439</f>
        <v>0</v>
      </c>
      <c r="K438" s="114">
        <f t="shared" si="94"/>
        <v>49119604</v>
      </c>
      <c r="L438" s="114">
        <f>L439</f>
        <v>0</v>
      </c>
      <c r="M438" s="114">
        <f>M439</f>
        <v>0</v>
      </c>
      <c r="N438" s="114">
        <f>N439</f>
        <v>0</v>
      </c>
      <c r="O438" s="114">
        <f>O439</f>
        <v>49119604</v>
      </c>
      <c r="P438" s="114">
        <f>P439</f>
        <v>49119604</v>
      </c>
      <c r="Q438" s="114">
        <f t="shared" si="95"/>
        <v>49119604</v>
      </c>
    </row>
    <row r="439" spans="1:17" ht="25.5">
      <c r="A439" s="50" t="s">
        <v>551</v>
      </c>
      <c r="B439" s="28" t="s">
        <v>95</v>
      </c>
      <c r="C439" s="50" t="s">
        <v>982</v>
      </c>
      <c r="D439" s="50" t="s">
        <v>576</v>
      </c>
      <c r="E439" s="48" t="s">
        <v>259</v>
      </c>
      <c r="F439" s="27">
        <f t="shared" si="93"/>
        <v>0</v>
      </c>
      <c r="G439" s="27"/>
      <c r="H439" s="27"/>
      <c r="I439" s="27"/>
      <c r="J439" s="27"/>
      <c r="K439" s="27">
        <f t="shared" si="94"/>
        <v>49119604</v>
      </c>
      <c r="L439" s="27"/>
      <c r="M439" s="27"/>
      <c r="N439" s="27"/>
      <c r="O439" s="27">
        <f>P439</f>
        <v>49119604</v>
      </c>
      <c r="P439" s="27">
        <f>73323350+508360-1165547-39546559+16000000</f>
        <v>49119604</v>
      </c>
      <c r="Q439" s="27">
        <f t="shared" si="95"/>
        <v>49119604</v>
      </c>
    </row>
    <row r="440" spans="1:17" ht="25.5" hidden="1">
      <c r="A440" s="112" t="s">
        <v>867</v>
      </c>
      <c r="B440" s="112" t="s">
        <v>634</v>
      </c>
      <c r="C440" s="112" t="s">
        <v>1021</v>
      </c>
      <c r="D440" s="112"/>
      <c r="E440" s="113" t="s">
        <v>635</v>
      </c>
      <c r="F440" s="27">
        <f t="shared" si="93"/>
        <v>0</v>
      </c>
      <c r="G440" s="114">
        <f>G441</f>
        <v>0</v>
      </c>
      <c r="H440" s="114">
        <f>H441</f>
        <v>0</v>
      </c>
      <c r="I440" s="114">
        <f>I441</f>
        <v>0</v>
      </c>
      <c r="J440" s="114">
        <f>J441</f>
        <v>0</v>
      </c>
      <c r="K440" s="27">
        <f t="shared" si="94"/>
        <v>0</v>
      </c>
      <c r="L440" s="114">
        <f>L441</f>
        <v>0</v>
      </c>
      <c r="M440" s="114">
        <f>M441</f>
        <v>0</v>
      </c>
      <c r="N440" s="114">
        <f>N441</f>
        <v>0</v>
      </c>
      <c r="O440" s="114">
        <f>O441</f>
        <v>0</v>
      </c>
      <c r="P440" s="114">
        <f>P441</f>
        <v>0</v>
      </c>
      <c r="Q440" s="27">
        <f t="shared" si="95"/>
        <v>0</v>
      </c>
    </row>
    <row r="441" spans="1:17" ht="12.75" hidden="1">
      <c r="A441" s="89" t="s">
        <v>442</v>
      </c>
      <c r="B441" s="89" t="s">
        <v>54</v>
      </c>
      <c r="C441" s="89" t="s">
        <v>1093</v>
      </c>
      <c r="D441" s="89"/>
      <c r="E441" s="99" t="s">
        <v>416</v>
      </c>
      <c r="F441" s="27">
        <f t="shared" si="93"/>
        <v>0</v>
      </c>
      <c r="G441" s="27">
        <f>G442+G443</f>
        <v>0</v>
      </c>
      <c r="H441" s="27">
        <f>H442+H443</f>
        <v>0</v>
      </c>
      <c r="I441" s="27">
        <f>I442+I443</f>
        <v>0</v>
      </c>
      <c r="J441" s="27">
        <f>J442+J443</f>
        <v>0</v>
      </c>
      <c r="K441" s="27">
        <f t="shared" si="94"/>
        <v>0</v>
      </c>
      <c r="L441" s="27">
        <f>L442+L443</f>
        <v>0</v>
      </c>
      <c r="M441" s="27">
        <f>M442+M443</f>
        <v>0</v>
      </c>
      <c r="N441" s="27">
        <f>N442+N443</f>
        <v>0</v>
      </c>
      <c r="O441" s="27">
        <f>O442+O443</f>
        <v>0</v>
      </c>
      <c r="P441" s="27">
        <f>P442+P443</f>
        <v>0</v>
      </c>
      <c r="Q441" s="27">
        <f t="shared" si="95"/>
        <v>0</v>
      </c>
    </row>
    <row r="442" spans="1:17" ht="63.75" hidden="1">
      <c r="A442" s="7" t="s">
        <v>441</v>
      </c>
      <c r="B442" s="7" t="s">
        <v>54</v>
      </c>
      <c r="C442" s="7" t="s">
        <v>985</v>
      </c>
      <c r="D442" s="7"/>
      <c r="E442" s="83" t="s">
        <v>433</v>
      </c>
      <c r="F442" s="27">
        <f t="shared" si="93"/>
        <v>0</v>
      </c>
      <c r="G442" s="27"/>
      <c r="H442" s="27"/>
      <c r="I442" s="27"/>
      <c r="J442" s="27"/>
      <c r="K442" s="27">
        <f t="shared" si="94"/>
        <v>0</v>
      </c>
      <c r="L442" s="27"/>
      <c r="M442" s="27"/>
      <c r="N442" s="27"/>
      <c r="O442" s="27"/>
      <c r="P442" s="27"/>
      <c r="Q442" s="27">
        <f t="shared" si="95"/>
        <v>0</v>
      </c>
    </row>
    <row r="443" spans="1:17" ht="51" hidden="1">
      <c r="A443" s="7" t="s">
        <v>493</v>
      </c>
      <c r="B443" s="7" t="s">
        <v>54</v>
      </c>
      <c r="C443" s="7" t="s">
        <v>989</v>
      </c>
      <c r="D443" s="7"/>
      <c r="E443" s="48" t="s">
        <v>320</v>
      </c>
      <c r="F443" s="27">
        <f t="shared" si="93"/>
        <v>0</v>
      </c>
      <c r="G443" s="27"/>
      <c r="H443" s="27"/>
      <c r="I443" s="27"/>
      <c r="J443" s="27"/>
      <c r="K443" s="27">
        <f t="shared" si="94"/>
        <v>0</v>
      </c>
      <c r="L443" s="27"/>
      <c r="M443" s="27"/>
      <c r="N443" s="27"/>
      <c r="O443" s="27"/>
      <c r="P443" s="27"/>
      <c r="Q443" s="27">
        <f t="shared" si="95"/>
        <v>0</v>
      </c>
    </row>
    <row r="444" spans="1:17" ht="12.75">
      <c r="A444" s="112" t="s">
        <v>1202</v>
      </c>
      <c r="B444" s="112" t="s">
        <v>98</v>
      </c>
      <c r="C444" s="112" t="s">
        <v>1015</v>
      </c>
      <c r="D444" s="112"/>
      <c r="E444" s="122" t="s">
        <v>99</v>
      </c>
      <c r="F444" s="26"/>
      <c r="G444" s="114"/>
      <c r="H444" s="114"/>
      <c r="I444" s="114"/>
      <c r="J444" s="114">
        <f>J445+J446</f>
        <v>0</v>
      </c>
      <c r="K444" s="26">
        <f t="shared" si="94"/>
        <v>25000</v>
      </c>
      <c r="L444" s="114"/>
      <c r="M444" s="114"/>
      <c r="N444" s="114"/>
      <c r="O444" s="114">
        <f>O445</f>
        <v>25000</v>
      </c>
      <c r="P444" s="114">
        <f>P445</f>
        <v>0</v>
      </c>
      <c r="Q444" s="26">
        <f t="shared" si="95"/>
        <v>25000</v>
      </c>
    </row>
    <row r="445" spans="1:17" ht="25.5">
      <c r="A445" s="50" t="s">
        <v>1203</v>
      </c>
      <c r="B445" s="28" t="s">
        <v>86</v>
      </c>
      <c r="C445" s="50" t="s">
        <v>1016</v>
      </c>
      <c r="D445" s="50" t="s">
        <v>587</v>
      </c>
      <c r="E445" s="25" t="s">
        <v>93</v>
      </c>
      <c r="F445" s="26">
        <f t="shared" si="93"/>
        <v>0</v>
      </c>
      <c r="G445" s="27"/>
      <c r="H445" s="27"/>
      <c r="I445" s="27"/>
      <c r="J445" s="27"/>
      <c r="K445" s="26">
        <f t="shared" si="94"/>
        <v>25000</v>
      </c>
      <c r="L445" s="27"/>
      <c r="M445" s="27"/>
      <c r="N445" s="27"/>
      <c r="O445" s="27">
        <v>25000</v>
      </c>
      <c r="P445" s="27"/>
      <c r="Q445" s="26">
        <f t="shared" si="95"/>
        <v>25000</v>
      </c>
    </row>
    <row r="446" spans="1:18" ht="51">
      <c r="A446" s="62" t="s">
        <v>275</v>
      </c>
      <c r="B446" s="62" t="s">
        <v>157</v>
      </c>
      <c r="C446" s="62" t="s">
        <v>157</v>
      </c>
      <c r="D446" s="62"/>
      <c r="E446" s="61" t="s">
        <v>131</v>
      </c>
      <c r="F446" s="39">
        <f>G446+J446</f>
        <v>13291247</v>
      </c>
      <c r="G446" s="39">
        <f>G447</f>
        <v>13291247</v>
      </c>
      <c r="H446" s="39">
        <f>H447</f>
        <v>9605199</v>
      </c>
      <c r="I446" s="39">
        <f>I447</f>
        <v>205439</v>
      </c>
      <c r="J446" s="39">
        <f>J447</f>
        <v>0</v>
      </c>
      <c r="K446" s="39">
        <f aca="true" t="shared" si="96" ref="K446:K452">L446+O446</f>
        <v>593098</v>
      </c>
      <c r="L446" s="39">
        <f>L447</f>
        <v>177355</v>
      </c>
      <c r="M446" s="39">
        <f>M447</f>
        <v>65526</v>
      </c>
      <c r="N446" s="39">
        <f>N447</f>
        <v>59</v>
      </c>
      <c r="O446" s="39">
        <f>O447</f>
        <v>415743</v>
      </c>
      <c r="P446" s="39">
        <f>P447</f>
        <v>378910</v>
      </c>
      <c r="Q446" s="40">
        <f>F446+K446</f>
        <v>13884345</v>
      </c>
      <c r="R446" s="164"/>
    </row>
    <row r="447" spans="1:17" ht="51">
      <c r="A447" s="59" t="s">
        <v>276</v>
      </c>
      <c r="B447" s="31"/>
      <c r="C447" s="31"/>
      <c r="D447" s="31"/>
      <c r="E447" s="49" t="s">
        <v>131</v>
      </c>
      <c r="F447" s="26">
        <f>G447+J447</f>
        <v>13291247</v>
      </c>
      <c r="G447" s="26">
        <f>G448+G450</f>
        <v>13291247</v>
      </c>
      <c r="H447" s="26">
        <f>H448+H450</f>
        <v>9605199</v>
      </c>
      <c r="I447" s="26">
        <f>I448+I450</f>
        <v>205439</v>
      </c>
      <c r="J447" s="26">
        <f>J448+J450</f>
        <v>0</v>
      </c>
      <c r="K447" s="26">
        <f t="shared" si="96"/>
        <v>593098</v>
      </c>
      <c r="L447" s="26">
        <f>L448+L450</f>
        <v>177355</v>
      </c>
      <c r="M447" s="26">
        <f>M448+M450</f>
        <v>65526</v>
      </c>
      <c r="N447" s="26">
        <f>N448+N450</f>
        <v>59</v>
      </c>
      <c r="O447" s="26">
        <f>O448+O450</f>
        <v>415743</v>
      </c>
      <c r="P447" s="26">
        <f>P448+P450</f>
        <v>378910</v>
      </c>
      <c r="Q447" s="26">
        <f>F447+K447</f>
        <v>13884345</v>
      </c>
    </row>
    <row r="448" spans="1:17" ht="12.75">
      <c r="A448" s="112" t="s">
        <v>704</v>
      </c>
      <c r="B448" s="111" t="s">
        <v>671</v>
      </c>
      <c r="C448" s="111" t="s">
        <v>972</v>
      </c>
      <c r="D448" s="111"/>
      <c r="E448" s="127" t="s">
        <v>673</v>
      </c>
      <c r="F448" s="123">
        <f aca="true" t="shared" si="97" ref="F448:F453">G448+J448</f>
        <v>3640491</v>
      </c>
      <c r="G448" s="123">
        <f>G449</f>
        <v>3640491</v>
      </c>
      <c r="H448" s="123">
        <f>H449</f>
        <v>2804458</v>
      </c>
      <c r="I448" s="123">
        <f>I449</f>
        <v>96141</v>
      </c>
      <c r="J448" s="123">
        <f>J449</f>
        <v>0</v>
      </c>
      <c r="K448" s="26">
        <f t="shared" si="96"/>
        <v>0</v>
      </c>
      <c r="L448" s="123">
        <f>L449</f>
        <v>0</v>
      </c>
      <c r="M448" s="123">
        <f>M449</f>
        <v>0</v>
      </c>
      <c r="N448" s="123">
        <f>N449</f>
        <v>0</v>
      </c>
      <c r="O448" s="123">
        <f>O449</f>
        <v>0</v>
      </c>
      <c r="P448" s="123">
        <f>P449</f>
        <v>0</v>
      </c>
      <c r="Q448" s="123">
        <f aca="true" t="shared" si="98" ref="Q448:Q453">F448+K448</f>
        <v>3640491</v>
      </c>
    </row>
    <row r="449" spans="1:17" ht="51">
      <c r="A449" s="50" t="s">
        <v>16</v>
      </c>
      <c r="B449" s="28" t="s">
        <v>33</v>
      </c>
      <c r="C449" s="50" t="s">
        <v>613</v>
      </c>
      <c r="D449" s="50" t="s">
        <v>574</v>
      </c>
      <c r="E449" s="51" t="s">
        <v>1148</v>
      </c>
      <c r="F449" s="26">
        <f t="shared" si="97"/>
        <v>3640491</v>
      </c>
      <c r="G449" s="27">
        <f>3204268+428708+7515</f>
        <v>3640491</v>
      </c>
      <c r="H449" s="27">
        <f>2444781+353459+6218</f>
        <v>2804458</v>
      </c>
      <c r="I449" s="27">
        <v>96141</v>
      </c>
      <c r="J449" s="27"/>
      <c r="K449" s="26">
        <f t="shared" si="96"/>
        <v>0</v>
      </c>
      <c r="L449" s="27"/>
      <c r="M449" s="27"/>
      <c r="N449" s="27"/>
      <c r="O449" s="27"/>
      <c r="P449" s="27"/>
      <c r="Q449" s="26">
        <f t="shared" si="98"/>
        <v>3640491</v>
      </c>
    </row>
    <row r="450" spans="1:17" ht="38.25">
      <c r="A450" s="112" t="s">
        <v>706</v>
      </c>
      <c r="B450" s="112" t="s">
        <v>705</v>
      </c>
      <c r="C450" s="112" t="s">
        <v>1123</v>
      </c>
      <c r="D450" s="112"/>
      <c r="E450" s="113" t="s">
        <v>707</v>
      </c>
      <c r="F450" s="26">
        <f t="shared" si="97"/>
        <v>9650756</v>
      </c>
      <c r="G450" s="114">
        <f>G451+G452+G453</f>
        <v>9650756</v>
      </c>
      <c r="H450" s="114">
        <f>H451+H452+H453</f>
        <v>6800741</v>
      </c>
      <c r="I450" s="114">
        <f>I451+I452+I453</f>
        <v>109298</v>
      </c>
      <c r="J450" s="114">
        <f>J451+J452+J453</f>
        <v>0</v>
      </c>
      <c r="K450" s="26">
        <f t="shared" si="96"/>
        <v>593098</v>
      </c>
      <c r="L450" s="114">
        <f>L451+L452+L453</f>
        <v>177355</v>
      </c>
      <c r="M450" s="114">
        <f>M451+M452+M453</f>
        <v>65526</v>
      </c>
      <c r="N450" s="114">
        <f>N451+N452+N453</f>
        <v>59</v>
      </c>
      <c r="O450" s="114">
        <f>O451+O452+O453</f>
        <v>415743</v>
      </c>
      <c r="P450" s="114">
        <f>P451+P452+P453</f>
        <v>378910</v>
      </c>
      <c r="Q450" s="26">
        <f t="shared" si="98"/>
        <v>10243854</v>
      </c>
    </row>
    <row r="451" spans="1:17" s="41" customFormat="1" ht="38.25">
      <c r="A451" s="50" t="s">
        <v>393</v>
      </c>
      <c r="B451" s="28" t="s">
        <v>52</v>
      </c>
      <c r="C451" s="50" t="s">
        <v>1124</v>
      </c>
      <c r="D451" s="50" t="s">
        <v>612</v>
      </c>
      <c r="E451" s="48" t="s">
        <v>28</v>
      </c>
      <c r="F451" s="26">
        <f t="shared" si="97"/>
        <v>4662123</v>
      </c>
      <c r="G451" s="27">
        <f>1219293+3421085+21745</f>
        <v>4662123</v>
      </c>
      <c r="H451" s="27">
        <v>3421085</v>
      </c>
      <c r="I451" s="27">
        <v>21745</v>
      </c>
      <c r="J451" s="27"/>
      <c r="K451" s="26">
        <f t="shared" si="96"/>
        <v>93043</v>
      </c>
      <c r="L451" s="27">
        <f>49490+43553</f>
        <v>93043</v>
      </c>
      <c r="M451" s="27">
        <v>43553</v>
      </c>
      <c r="N451" s="27"/>
      <c r="O451" s="27"/>
      <c r="P451" s="27"/>
      <c r="Q451" s="26">
        <f t="shared" si="98"/>
        <v>4755166</v>
      </c>
    </row>
    <row r="452" spans="1:17" s="41" customFormat="1" ht="40.5" customHeight="1" hidden="1">
      <c r="A452" s="50" t="s">
        <v>920</v>
      </c>
      <c r="B452" s="50" t="s">
        <v>923</v>
      </c>
      <c r="C452" s="50" t="s">
        <v>1125</v>
      </c>
      <c r="D452" s="50" t="s">
        <v>921</v>
      </c>
      <c r="E452" s="48" t="s">
        <v>922</v>
      </c>
      <c r="F452" s="26"/>
      <c r="G452" s="27"/>
      <c r="H452" s="27"/>
      <c r="I452" s="27"/>
      <c r="J452" s="27"/>
      <c r="K452" s="26">
        <f t="shared" si="96"/>
        <v>0</v>
      </c>
      <c r="L452" s="27"/>
      <c r="M452" s="27"/>
      <c r="N452" s="27"/>
      <c r="O452" s="27"/>
      <c r="P452" s="27"/>
      <c r="Q452" s="26"/>
    </row>
    <row r="453" spans="1:17" ht="12.75">
      <c r="A453" s="50" t="s">
        <v>17</v>
      </c>
      <c r="B453" s="28">
        <v>210110</v>
      </c>
      <c r="C453" s="50" t="s">
        <v>1126</v>
      </c>
      <c r="D453" s="50" t="s">
        <v>612</v>
      </c>
      <c r="E453" s="48" t="s">
        <v>277</v>
      </c>
      <c r="F453" s="26">
        <f t="shared" si="97"/>
        <v>4988633</v>
      </c>
      <c r="G453" s="27">
        <f>1521424+3379656+87553</f>
        <v>4988633</v>
      </c>
      <c r="H453" s="27">
        <v>3379656</v>
      </c>
      <c r="I453" s="27">
        <v>87553</v>
      </c>
      <c r="J453" s="27"/>
      <c r="K453" s="26">
        <f>L453+O453</f>
        <v>500055</v>
      </c>
      <c r="L453" s="27">
        <f>62280+21973+59</f>
        <v>84312</v>
      </c>
      <c r="M453" s="27">
        <v>21973</v>
      </c>
      <c r="N453" s="27">
        <v>59</v>
      </c>
      <c r="O453" s="27">
        <f>P453+36833</f>
        <v>415743</v>
      </c>
      <c r="P453" s="27">
        <v>378910</v>
      </c>
      <c r="Q453" s="26">
        <f t="shared" si="98"/>
        <v>5488688</v>
      </c>
    </row>
    <row r="454" spans="1:18" ht="25.5">
      <c r="A454" s="62" t="s">
        <v>278</v>
      </c>
      <c r="B454" s="62" t="s">
        <v>168</v>
      </c>
      <c r="C454" s="62" t="s">
        <v>168</v>
      </c>
      <c r="D454" s="62"/>
      <c r="E454" s="61" t="s">
        <v>143</v>
      </c>
      <c r="F454" s="39">
        <f>G454+J454</f>
        <v>5406280</v>
      </c>
      <c r="G454" s="39">
        <f>G455</f>
        <v>5406280</v>
      </c>
      <c r="H454" s="39">
        <f>H455</f>
        <v>3861641</v>
      </c>
      <c r="I454" s="39">
        <f>I455</f>
        <v>117496</v>
      </c>
      <c r="J454" s="39">
        <f>J455</f>
        <v>0</v>
      </c>
      <c r="K454" s="39">
        <f>L454+O454</f>
        <v>30000</v>
      </c>
      <c r="L454" s="39">
        <f>L455</f>
        <v>0</v>
      </c>
      <c r="M454" s="39">
        <f>M455</f>
        <v>0</v>
      </c>
      <c r="N454" s="39">
        <f>N455</f>
        <v>0</v>
      </c>
      <c r="O454" s="39">
        <f>O455</f>
        <v>30000</v>
      </c>
      <c r="P454" s="39">
        <f>P455</f>
        <v>0</v>
      </c>
      <c r="Q454" s="40">
        <f>F454+K454</f>
        <v>5436280</v>
      </c>
      <c r="R454" s="164"/>
    </row>
    <row r="455" spans="1:17" ht="25.5">
      <c r="A455" s="59" t="s">
        <v>279</v>
      </c>
      <c r="B455" s="31"/>
      <c r="C455" s="31"/>
      <c r="D455" s="31"/>
      <c r="E455" s="49" t="s">
        <v>143</v>
      </c>
      <c r="F455" s="26">
        <f>G455+J455</f>
        <v>5406280</v>
      </c>
      <c r="G455" s="26">
        <f>G456+G458+G460+G461+G465+G468+G463</f>
        <v>5406280</v>
      </c>
      <c r="H455" s="26">
        <f>H456+H458+H460+H461+H465+H468+H463</f>
        <v>3861641</v>
      </c>
      <c r="I455" s="26">
        <f>I456+I458+I460+I461+I465+I468+I463</f>
        <v>117496</v>
      </c>
      <c r="J455" s="26">
        <f>J456+J458+J460+J461+J465+J468+J463</f>
        <v>0</v>
      </c>
      <c r="K455" s="26">
        <f>L455+O455</f>
        <v>30000</v>
      </c>
      <c r="L455" s="26">
        <f>L456+L458+L460+L461+L465+L468+L463</f>
        <v>0</v>
      </c>
      <c r="M455" s="26">
        <f>M456+M458+M460+M461+M465+M468+M463</f>
        <v>0</v>
      </c>
      <c r="N455" s="26">
        <f>N456+N458+N460+N461+N465+N468+N463</f>
        <v>0</v>
      </c>
      <c r="O455" s="26">
        <f>O456+O458+O460+O461+O465+O468+O463</f>
        <v>30000</v>
      </c>
      <c r="P455" s="26">
        <f>P456+P458+P460+P461+P465+P468+P463</f>
        <v>0</v>
      </c>
      <c r="Q455" s="26">
        <f>F455+K455</f>
        <v>5436280</v>
      </c>
    </row>
    <row r="456" spans="1:17" ht="12.75">
      <c r="A456" s="112" t="s">
        <v>708</v>
      </c>
      <c r="B456" s="111" t="s">
        <v>671</v>
      </c>
      <c r="C456" s="111" t="s">
        <v>972</v>
      </c>
      <c r="D456" s="111"/>
      <c r="E456" s="127" t="s">
        <v>673</v>
      </c>
      <c r="F456" s="26">
        <f aca="true" t="shared" si="99" ref="F456:F470">G456+J456</f>
        <v>5103419</v>
      </c>
      <c r="G456" s="123">
        <f>G457</f>
        <v>5103419</v>
      </c>
      <c r="H456" s="123">
        <f>H457</f>
        <v>3861641</v>
      </c>
      <c r="I456" s="123">
        <f>I457</f>
        <v>117496</v>
      </c>
      <c r="J456" s="123">
        <f>J457</f>
        <v>0</v>
      </c>
      <c r="K456" s="26">
        <f aca="true" t="shared" si="100" ref="K456:K471">L456+O456</f>
        <v>0</v>
      </c>
      <c r="L456" s="123">
        <f>L457</f>
        <v>0</v>
      </c>
      <c r="M456" s="123">
        <f>M457</f>
        <v>0</v>
      </c>
      <c r="N456" s="123">
        <f>N457</f>
        <v>0</v>
      </c>
      <c r="O456" s="123">
        <f>O457</f>
        <v>0</v>
      </c>
      <c r="P456" s="123">
        <f>P457</f>
        <v>0</v>
      </c>
      <c r="Q456" s="26">
        <f aca="true" t="shared" si="101" ref="Q456:Q471">F456+K456</f>
        <v>5103419</v>
      </c>
    </row>
    <row r="457" spans="1:17" ht="27.75" customHeight="1">
      <c r="A457" s="50" t="s">
        <v>18</v>
      </c>
      <c r="B457" s="28" t="s">
        <v>33</v>
      </c>
      <c r="C457" s="50" t="s">
        <v>613</v>
      </c>
      <c r="D457" s="50" t="s">
        <v>574</v>
      </c>
      <c r="E457" s="51" t="s">
        <v>310</v>
      </c>
      <c r="F457" s="26">
        <f>G457+J457</f>
        <v>5103419</v>
      </c>
      <c r="G457" s="27">
        <f>4441248-165103+10600+804379+12295</f>
        <v>5103419</v>
      </c>
      <c r="H457" s="27">
        <f>3212703+638860+10078</f>
        <v>3861641</v>
      </c>
      <c r="I457" s="27">
        <v>117496</v>
      </c>
      <c r="J457" s="27"/>
      <c r="K457" s="26">
        <f t="shared" si="100"/>
        <v>0</v>
      </c>
      <c r="L457" s="27"/>
      <c r="M457" s="27"/>
      <c r="N457" s="27"/>
      <c r="O457" s="27"/>
      <c r="P457" s="27"/>
      <c r="Q457" s="26">
        <f t="shared" si="101"/>
        <v>5103419</v>
      </c>
    </row>
    <row r="458" spans="1:17" ht="12.75" hidden="1">
      <c r="A458" s="112" t="s">
        <v>709</v>
      </c>
      <c r="B458" s="112" t="s">
        <v>628</v>
      </c>
      <c r="C458" s="112" t="s">
        <v>1020</v>
      </c>
      <c r="D458" s="112"/>
      <c r="E458" s="113" t="s">
        <v>630</v>
      </c>
      <c r="F458" s="26">
        <f t="shared" si="99"/>
        <v>0</v>
      </c>
      <c r="G458" s="114">
        <f>G459</f>
        <v>0</v>
      </c>
      <c r="H458" s="114">
        <f>H459</f>
        <v>0</v>
      </c>
      <c r="I458" s="114">
        <f>I459</f>
        <v>0</v>
      </c>
      <c r="J458" s="114">
        <f>J459</f>
        <v>0</v>
      </c>
      <c r="K458" s="26">
        <f t="shared" si="100"/>
        <v>0</v>
      </c>
      <c r="L458" s="114">
        <f>L459</f>
        <v>0</v>
      </c>
      <c r="M458" s="114">
        <f>M459</f>
        <v>0</v>
      </c>
      <c r="N458" s="114">
        <f>N459</f>
        <v>0</v>
      </c>
      <c r="O458" s="114">
        <f>O459</f>
        <v>0</v>
      </c>
      <c r="P458" s="114">
        <f>P459</f>
        <v>0</v>
      </c>
      <c r="Q458" s="26">
        <f t="shared" si="101"/>
        <v>0</v>
      </c>
    </row>
    <row r="459" spans="1:17" ht="25.5" hidden="1">
      <c r="A459" s="50" t="s">
        <v>280</v>
      </c>
      <c r="B459" s="28" t="s">
        <v>87</v>
      </c>
      <c r="C459" s="50" t="s">
        <v>980</v>
      </c>
      <c r="D459" s="50" t="s">
        <v>576</v>
      </c>
      <c r="E459" s="48" t="s">
        <v>174</v>
      </c>
      <c r="F459" s="26">
        <f t="shared" si="99"/>
        <v>0</v>
      </c>
      <c r="G459" s="27"/>
      <c r="H459" s="27"/>
      <c r="I459" s="27"/>
      <c r="J459" s="27"/>
      <c r="K459" s="26">
        <f t="shared" si="100"/>
        <v>0</v>
      </c>
      <c r="L459" s="27"/>
      <c r="M459" s="27"/>
      <c r="N459" s="27"/>
      <c r="O459" s="27"/>
      <c r="P459" s="27"/>
      <c r="Q459" s="26">
        <f t="shared" si="101"/>
        <v>0</v>
      </c>
    </row>
    <row r="460" spans="1:17" ht="63.75" hidden="1">
      <c r="A460" s="50" t="s">
        <v>394</v>
      </c>
      <c r="B460" s="28" t="s">
        <v>94</v>
      </c>
      <c r="C460" s="50" t="s">
        <v>1103</v>
      </c>
      <c r="D460" s="50" t="s">
        <v>607</v>
      </c>
      <c r="E460" s="51" t="s">
        <v>281</v>
      </c>
      <c r="F460" s="26">
        <f t="shared" si="99"/>
        <v>0</v>
      </c>
      <c r="G460" s="27"/>
      <c r="H460" s="27"/>
      <c r="I460" s="27"/>
      <c r="J460" s="27"/>
      <c r="K460" s="26">
        <f t="shared" si="100"/>
        <v>0</v>
      </c>
      <c r="L460" s="27"/>
      <c r="M460" s="27"/>
      <c r="N460" s="27"/>
      <c r="O460" s="27"/>
      <c r="P460" s="27"/>
      <c r="Q460" s="26">
        <f t="shared" si="101"/>
        <v>0</v>
      </c>
    </row>
    <row r="461" spans="1:17" ht="25.5" hidden="1">
      <c r="A461" s="112" t="s">
        <v>756</v>
      </c>
      <c r="B461" s="111" t="s">
        <v>617</v>
      </c>
      <c r="C461" s="111" t="s">
        <v>1091</v>
      </c>
      <c r="D461" s="111"/>
      <c r="E461" s="122" t="s">
        <v>619</v>
      </c>
      <c r="F461" s="26">
        <f t="shared" si="99"/>
        <v>0</v>
      </c>
      <c r="G461" s="27">
        <f>G462</f>
        <v>0</v>
      </c>
      <c r="H461" s="27">
        <f>H462</f>
        <v>0</v>
      </c>
      <c r="I461" s="27">
        <f>I462</f>
        <v>0</v>
      </c>
      <c r="J461" s="27">
        <f>J462</f>
        <v>0</v>
      </c>
      <c r="K461" s="26">
        <f t="shared" si="100"/>
        <v>0</v>
      </c>
      <c r="L461" s="27">
        <f>L462</f>
        <v>0</v>
      </c>
      <c r="M461" s="27">
        <f>M462</f>
        <v>0</v>
      </c>
      <c r="N461" s="27">
        <f>N462</f>
        <v>0</v>
      </c>
      <c r="O461" s="27">
        <f>O462</f>
        <v>0</v>
      </c>
      <c r="P461" s="27">
        <f>P462</f>
        <v>0</v>
      </c>
      <c r="Q461" s="26">
        <f t="shared" si="101"/>
        <v>0</v>
      </c>
    </row>
    <row r="462" spans="1:17" ht="25.5" hidden="1">
      <c r="A462" s="50" t="s">
        <v>757</v>
      </c>
      <c r="B462" s="28" t="s">
        <v>95</v>
      </c>
      <c r="C462" s="50" t="s">
        <v>982</v>
      </c>
      <c r="D462" s="50" t="s">
        <v>576</v>
      </c>
      <c r="E462" s="48" t="s">
        <v>259</v>
      </c>
      <c r="F462" s="26">
        <f t="shared" si="99"/>
        <v>0</v>
      </c>
      <c r="G462" s="27"/>
      <c r="H462" s="27"/>
      <c r="I462" s="27"/>
      <c r="J462" s="27"/>
      <c r="K462" s="26">
        <f t="shared" si="100"/>
        <v>0</v>
      </c>
      <c r="L462" s="27"/>
      <c r="M462" s="27"/>
      <c r="N462" s="27"/>
      <c r="O462" s="27">
        <f>P462</f>
        <v>0</v>
      </c>
      <c r="P462" s="27"/>
      <c r="Q462" s="26">
        <f t="shared" si="101"/>
        <v>0</v>
      </c>
    </row>
    <row r="463" spans="1:17" s="43" customFormat="1" ht="25.5" hidden="1">
      <c r="A463" s="59" t="s">
        <v>1149</v>
      </c>
      <c r="B463" s="59" t="s">
        <v>501</v>
      </c>
      <c r="C463" s="59" t="s">
        <v>1090</v>
      </c>
      <c r="D463" s="59"/>
      <c r="E463" s="83" t="s">
        <v>503</v>
      </c>
      <c r="F463" s="26">
        <f>G463</f>
        <v>0</v>
      </c>
      <c r="G463" s="26">
        <f>G464</f>
        <v>0</v>
      </c>
      <c r="H463" s="26">
        <f aca="true" t="shared" si="102" ref="H463:P463">H464</f>
        <v>0</v>
      </c>
      <c r="I463" s="26">
        <f t="shared" si="102"/>
        <v>0</v>
      </c>
      <c r="J463" s="26">
        <f t="shared" si="102"/>
        <v>0</v>
      </c>
      <c r="K463" s="26">
        <f t="shared" si="102"/>
        <v>0</v>
      </c>
      <c r="L463" s="26">
        <f t="shared" si="102"/>
        <v>0</v>
      </c>
      <c r="M463" s="26">
        <f t="shared" si="102"/>
        <v>0</v>
      </c>
      <c r="N463" s="26">
        <f t="shared" si="102"/>
        <v>0</v>
      </c>
      <c r="O463" s="26">
        <f t="shared" si="102"/>
        <v>0</v>
      </c>
      <c r="P463" s="26">
        <f t="shared" si="102"/>
        <v>0</v>
      </c>
      <c r="Q463" s="26">
        <f t="shared" si="101"/>
        <v>0</v>
      </c>
    </row>
    <row r="464" spans="1:17" s="169" customFormat="1" ht="12.75" hidden="1">
      <c r="A464" s="170" t="s">
        <v>1150</v>
      </c>
      <c r="B464" s="170" t="s">
        <v>501</v>
      </c>
      <c r="C464" s="170" t="s">
        <v>1151</v>
      </c>
      <c r="D464" s="170" t="s">
        <v>585</v>
      </c>
      <c r="E464" s="178" t="s">
        <v>1152</v>
      </c>
      <c r="F464" s="173">
        <f>G464+J464</f>
        <v>0</v>
      </c>
      <c r="G464" s="173">
        <f>7000000-2215330-4784670</f>
        <v>0</v>
      </c>
      <c r="H464" s="173"/>
      <c r="I464" s="173"/>
      <c r="J464" s="173"/>
      <c r="K464" s="173">
        <f>L464+O464</f>
        <v>0</v>
      </c>
      <c r="L464" s="173"/>
      <c r="M464" s="173"/>
      <c r="N464" s="173"/>
      <c r="O464" s="173"/>
      <c r="P464" s="173"/>
      <c r="Q464" s="173">
        <f t="shared" si="101"/>
        <v>0</v>
      </c>
    </row>
    <row r="465" spans="1:17" ht="25.5">
      <c r="A465" s="112" t="s">
        <v>711</v>
      </c>
      <c r="B465" s="112" t="s">
        <v>634</v>
      </c>
      <c r="C465" s="112" t="s">
        <v>1021</v>
      </c>
      <c r="D465" s="112"/>
      <c r="E465" s="113" t="s">
        <v>635</v>
      </c>
      <c r="F465" s="114">
        <f t="shared" si="99"/>
        <v>302861</v>
      </c>
      <c r="G465" s="114">
        <f>G466</f>
        <v>302861</v>
      </c>
      <c r="H465" s="114">
        <f aca="true" t="shared" si="103" ref="H465:J466">H466</f>
        <v>0</v>
      </c>
      <c r="I465" s="114">
        <f t="shared" si="103"/>
        <v>0</v>
      </c>
      <c r="J465" s="114">
        <f t="shared" si="103"/>
        <v>0</v>
      </c>
      <c r="K465" s="26">
        <f t="shared" si="100"/>
        <v>0</v>
      </c>
      <c r="L465" s="114">
        <f aca="true" t="shared" si="104" ref="L465:P466">L466</f>
        <v>0</v>
      </c>
      <c r="M465" s="114">
        <f t="shared" si="104"/>
        <v>0</v>
      </c>
      <c r="N465" s="114">
        <f t="shared" si="104"/>
        <v>0</v>
      </c>
      <c r="O465" s="114">
        <f t="shared" si="104"/>
        <v>0</v>
      </c>
      <c r="P465" s="114">
        <f t="shared" si="104"/>
        <v>0</v>
      </c>
      <c r="Q465" s="114">
        <f t="shared" si="101"/>
        <v>302861</v>
      </c>
    </row>
    <row r="466" spans="1:17" ht="12.75">
      <c r="A466" s="106" t="s">
        <v>712</v>
      </c>
      <c r="B466" s="106" t="s">
        <v>54</v>
      </c>
      <c r="C466" s="106" t="s">
        <v>1093</v>
      </c>
      <c r="D466" s="106" t="s">
        <v>577</v>
      </c>
      <c r="E466" s="129" t="s">
        <v>416</v>
      </c>
      <c r="F466" s="105">
        <f t="shared" si="99"/>
        <v>302861</v>
      </c>
      <c r="G466" s="105">
        <f>G467</f>
        <v>302861</v>
      </c>
      <c r="H466" s="105">
        <f t="shared" si="103"/>
        <v>0</v>
      </c>
      <c r="I466" s="105">
        <f t="shared" si="103"/>
        <v>0</v>
      </c>
      <c r="J466" s="105">
        <f t="shared" si="103"/>
        <v>0</v>
      </c>
      <c r="K466" s="26">
        <f t="shared" si="100"/>
        <v>0</v>
      </c>
      <c r="L466" s="105">
        <f t="shared" si="104"/>
        <v>0</v>
      </c>
      <c r="M466" s="105">
        <f t="shared" si="104"/>
        <v>0</v>
      </c>
      <c r="N466" s="105">
        <f t="shared" si="104"/>
        <v>0</v>
      </c>
      <c r="O466" s="105">
        <f t="shared" si="104"/>
        <v>0</v>
      </c>
      <c r="P466" s="105">
        <f t="shared" si="104"/>
        <v>0</v>
      </c>
      <c r="Q466" s="105">
        <f t="shared" si="101"/>
        <v>302861</v>
      </c>
    </row>
    <row r="467" spans="1:17" s="169" customFormat="1" ht="38.25" hidden="1">
      <c r="A467" s="170" t="s">
        <v>449</v>
      </c>
      <c r="B467" s="171" t="s">
        <v>54</v>
      </c>
      <c r="C467" s="170" t="s">
        <v>985</v>
      </c>
      <c r="D467" s="170" t="s">
        <v>577</v>
      </c>
      <c r="E467" s="178" t="s">
        <v>853</v>
      </c>
      <c r="F467" s="173">
        <f t="shared" si="99"/>
        <v>302861</v>
      </c>
      <c r="G467" s="173">
        <v>302861</v>
      </c>
      <c r="H467" s="173"/>
      <c r="I467" s="173"/>
      <c r="J467" s="173"/>
      <c r="K467" s="173">
        <f t="shared" si="100"/>
        <v>0</v>
      </c>
      <c r="L467" s="173"/>
      <c r="M467" s="173"/>
      <c r="N467" s="173"/>
      <c r="O467" s="173"/>
      <c r="P467" s="173"/>
      <c r="Q467" s="173">
        <f t="shared" si="101"/>
        <v>302861</v>
      </c>
    </row>
    <row r="468" spans="1:17" ht="12.75">
      <c r="A468" s="112" t="s">
        <v>758</v>
      </c>
      <c r="B468" s="112" t="s">
        <v>98</v>
      </c>
      <c r="C468" s="112" t="s">
        <v>1015</v>
      </c>
      <c r="D468" s="112"/>
      <c r="E468" s="115" t="s">
        <v>99</v>
      </c>
      <c r="F468" s="26">
        <f t="shared" si="99"/>
        <v>0</v>
      </c>
      <c r="G468" s="27">
        <f>G470</f>
        <v>0</v>
      </c>
      <c r="H468" s="27">
        <f>H470</f>
        <v>0</v>
      </c>
      <c r="I468" s="27">
        <f>I470</f>
        <v>0</v>
      </c>
      <c r="J468" s="27">
        <f>J470</f>
        <v>0</v>
      </c>
      <c r="K468" s="26">
        <f t="shared" si="100"/>
        <v>30000</v>
      </c>
      <c r="L468" s="27">
        <f>L470+L469</f>
        <v>0</v>
      </c>
      <c r="M468" s="27">
        <f>M470+M469</f>
        <v>0</v>
      </c>
      <c r="N468" s="27">
        <f>N470+N469</f>
        <v>0</v>
      </c>
      <c r="O468" s="27">
        <f>O470+O469</f>
        <v>30000</v>
      </c>
      <c r="P468" s="27">
        <f>P470</f>
        <v>0</v>
      </c>
      <c r="Q468" s="26">
        <f t="shared" si="101"/>
        <v>30000</v>
      </c>
    </row>
    <row r="469" spans="1:17" ht="25.5">
      <c r="A469" s="50" t="s">
        <v>1201</v>
      </c>
      <c r="B469" s="28" t="s">
        <v>86</v>
      </c>
      <c r="C469" s="50" t="s">
        <v>1016</v>
      </c>
      <c r="D469" s="50" t="s">
        <v>587</v>
      </c>
      <c r="E469" s="25" t="s">
        <v>93</v>
      </c>
      <c r="F469" s="26">
        <f t="shared" si="99"/>
        <v>0</v>
      </c>
      <c r="G469" s="27"/>
      <c r="H469" s="27"/>
      <c r="I469" s="27"/>
      <c r="J469" s="27"/>
      <c r="K469" s="26">
        <f t="shared" si="100"/>
        <v>30000</v>
      </c>
      <c r="L469" s="27"/>
      <c r="M469" s="27"/>
      <c r="N469" s="27"/>
      <c r="O469" s="27">
        <v>30000</v>
      </c>
      <c r="P469" s="27"/>
      <c r="Q469" s="26">
        <f t="shared" si="101"/>
        <v>30000</v>
      </c>
    </row>
    <row r="470" spans="1:17" ht="49.5" customHeight="1" hidden="1">
      <c r="A470" s="85" t="s">
        <v>759</v>
      </c>
      <c r="B470" s="93" t="s">
        <v>53</v>
      </c>
      <c r="C470" s="93" t="s">
        <v>992</v>
      </c>
      <c r="D470" s="93"/>
      <c r="E470" s="94" t="s">
        <v>431</v>
      </c>
      <c r="F470" s="26">
        <f t="shared" si="99"/>
        <v>0</v>
      </c>
      <c r="G470" s="27">
        <f>G471</f>
        <v>0</v>
      </c>
      <c r="H470" s="27">
        <f>H471</f>
        <v>0</v>
      </c>
      <c r="I470" s="27">
        <f>I471</f>
        <v>0</v>
      </c>
      <c r="J470" s="27">
        <f>J471</f>
        <v>0</v>
      </c>
      <c r="K470" s="26">
        <f t="shared" si="100"/>
        <v>0</v>
      </c>
      <c r="L470" s="27">
        <f>L471</f>
        <v>0</v>
      </c>
      <c r="M470" s="27">
        <f>M471</f>
        <v>0</v>
      </c>
      <c r="N470" s="27">
        <f>N471</f>
        <v>0</v>
      </c>
      <c r="O470" s="27">
        <f>O471</f>
        <v>0</v>
      </c>
      <c r="P470" s="27">
        <f>P471</f>
        <v>0</v>
      </c>
      <c r="Q470" s="26">
        <f t="shared" si="101"/>
        <v>0</v>
      </c>
    </row>
    <row r="471" spans="1:17" ht="25.5" hidden="1">
      <c r="A471" s="7" t="s">
        <v>760</v>
      </c>
      <c r="B471" s="7" t="s">
        <v>53</v>
      </c>
      <c r="C471" s="7" t="s">
        <v>993</v>
      </c>
      <c r="D471" s="7" t="s">
        <v>577</v>
      </c>
      <c r="E471" s="48" t="s">
        <v>175</v>
      </c>
      <c r="F471" s="27"/>
      <c r="G471" s="27"/>
      <c r="H471" s="27"/>
      <c r="I471" s="27"/>
      <c r="J471" s="27"/>
      <c r="K471" s="26">
        <f t="shared" si="100"/>
        <v>0</v>
      </c>
      <c r="L471" s="27"/>
      <c r="M471" s="27"/>
      <c r="N471" s="27"/>
      <c r="O471" s="27"/>
      <c r="P471" s="27"/>
      <c r="Q471" s="26">
        <f t="shared" si="101"/>
        <v>0</v>
      </c>
    </row>
    <row r="472" spans="1:18" s="43" customFormat="1" ht="39.75" customHeight="1">
      <c r="A472" s="62" t="s">
        <v>282</v>
      </c>
      <c r="B472" s="62" t="s">
        <v>166</v>
      </c>
      <c r="C472" s="62" t="s">
        <v>166</v>
      </c>
      <c r="D472" s="62"/>
      <c r="E472" s="63" t="s">
        <v>129</v>
      </c>
      <c r="F472" s="39">
        <f aca="true" t="shared" si="105" ref="F472:F481">G472+J472</f>
        <v>10088797</v>
      </c>
      <c r="G472" s="39">
        <f>G473</f>
        <v>10088797</v>
      </c>
      <c r="H472" s="39">
        <f>H473</f>
        <v>6904623</v>
      </c>
      <c r="I472" s="39">
        <f>I473</f>
        <v>155190</v>
      </c>
      <c r="J472" s="39">
        <f>J473</f>
        <v>0</v>
      </c>
      <c r="K472" s="39">
        <f aca="true" t="shared" si="106" ref="K472:K481">L472+O472</f>
        <v>0</v>
      </c>
      <c r="L472" s="39">
        <f>L473</f>
        <v>0</v>
      </c>
      <c r="M472" s="39">
        <f>M473</f>
        <v>0</v>
      </c>
      <c r="N472" s="39">
        <f>N473</f>
        <v>0</v>
      </c>
      <c r="O472" s="39">
        <f>O473</f>
        <v>0</v>
      </c>
      <c r="P472" s="39">
        <f>P473</f>
        <v>0</v>
      </c>
      <c r="Q472" s="40">
        <f aca="true" t="shared" si="107" ref="Q472:Q481">F472+K472</f>
        <v>10088797</v>
      </c>
      <c r="R472" s="193"/>
    </row>
    <row r="473" spans="1:17" s="43" customFormat="1" ht="42.75" customHeight="1">
      <c r="A473" s="59" t="s">
        <v>283</v>
      </c>
      <c r="B473" s="31"/>
      <c r="C473" s="31"/>
      <c r="D473" s="31"/>
      <c r="E473" s="49" t="s">
        <v>129</v>
      </c>
      <c r="F473" s="26">
        <f t="shared" si="105"/>
        <v>10088797</v>
      </c>
      <c r="G473" s="26">
        <f>G474+G476+G479</f>
        <v>10088797</v>
      </c>
      <c r="H473" s="26">
        <f>H474+H476+H479</f>
        <v>6904623</v>
      </c>
      <c r="I473" s="26">
        <f>I474+I476+I479</f>
        <v>155190</v>
      </c>
      <c r="J473" s="26">
        <f>J474+J476+J479</f>
        <v>0</v>
      </c>
      <c r="K473" s="26">
        <f t="shared" si="106"/>
        <v>0</v>
      </c>
      <c r="L473" s="26">
        <f>L474+L476+L479</f>
        <v>0</v>
      </c>
      <c r="M473" s="26">
        <f>M474+M476+M479</f>
        <v>0</v>
      </c>
      <c r="N473" s="26">
        <f>N474+N476+N479</f>
        <v>0</v>
      </c>
      <c r="O473" s="26">
        <f>O474+O476+O479</f>
        <v>0</v>
      </c>
      <c r="P473" s="26">
        <f>P474+P476+P479</f>
        <v>0</v>
      </c>
      <c r="Q473" s="26">
        <f t="shared" si="107"/>
        <v>10088797</v>
      </c>
    </row>
    <row r="474" spans="1:17" s="43" customFormat="1" ht="12.75">
      <c r="A474" s="112" t="s">
        <v>710</v>
      </c>
      <c r="B474" s="111" t="s">
        <v>671</v>
      </c>
      <c r="C474" s="111" t="s">
        <v>972</v>
      </c>
      <c r="D474" s="111"/>
      <c r="E474" s="127" t="s">
        <v>673</v>
      </c>
      <c r="F474" s="26">
        <f t="shared" si="105"/>
        <v>10088797</v>
      </c>
      <c r="G474" s="123">
        <f>G475</f>
        <v>10088797</v>
      </c>
      <c r="H474" s="123">
        <f>H475</f>
        <v>6904623</v>
      </c>
      <c r="I474" s="123">
        <f>I475</f>
        <v>155190</v>
      </c>
      <c r="J474" s="123">
        <f>J475</f>
        <v>0</v>
      </c>
      <c r="K474" s="26">
        <f t="shared" si="106"/>
        <v>0</v>
      </c>
      <c r="L474" s="123">
        <f>L475</f>
        <v>0</v>
      </c>
      <c r="M474" s="123">
        <f>M475</f>
        <v>0</v>
      </c>
      <c r="N474" s="123">
        <f>N475</f>
        <v>0</v>
      </c>
      <c r="O474" s="123">
        <f>O475</f>
        <v>0</v>
      </c>
      <c r="P474" s="123">
        <f>P475</f>
        <v>0</v>
      </c>
      <c r="Q474" s="26">
        <f t="shared" si="107"/>
        <v>10088797</v>
      </c>
    </row>
    <row r="475" spans="1:17" s="43" customFormat="1" ht="25.5">
      <c r="A475" s="50" t="s">
        <v>19</v>
      </c>
      <c r="B475" s="28" t="s">
        <v>33</v>
      </c>
      <c r="C475" s="50" t="s">
        <v>613</v>
      </c>
      <c r="D475" s="50" t="s">
        <v>574</v>
      </c>
      <c r="E475" s="51" t="s">
        <v>311</v>
      </c>
      <c r="F475" s="26">
        <f t="shared" si="105"/>
        <v>10088797</v>
      </c>
      <c r="G475" s="27">
        <f>7512552+220000+(1010000)-198359+1523252+21352</f>
        <v>10088797</v>
      </c>
      <c r="H475" s="27">
        <f>5645041+1242056+17526</f>
        <v>6904623</v>
      </c>
      <c r="I475" s="27">
        <v>155190</v>
      </c>
      <c r="J475" s="27"/>
      <c r="K475" s="26">
        <f t="shared" si="106"/>
        <v>0</v>
      </c>
      <c r="L475" s="27"/>
      <c r="M475" s="27"/>
      <c r="N475" s="27"/>
      <c r="O475" s="27"/>
      <c r="P475" s="27"/>
      <c r="Q475" s="26">
        <f t="shared" si="107"/>
        <v>10088797</v>
      </c>
    </row>
    <row r="476" spans="1:17" s="43" customFormat="1" ht="25.5" hidden="1">
      <c r="A476" s="112" t="s">
        <v>713</v>
      </c>
      <c r="B476" s="112" t="s">
        <v>634</v>
      </c>
      <c r="C476" s="112" t="s">
        <v>1021</v>
      </c>
      <c r="D476" s="112"/>
      <c r="E476" s="113" t="s">
        <v>635</v>
      </c>
      <c r="F476" s="26">
        <f t="shared" si="105"/>
        <v>0</v>
      </c>
      <c r="G476" s="114">
        <f>G477</f>
        <v>0</v>
      </c>
      <c r="H476" s="114">
        <f aca="true" t="shared" si="108" ref="H476:J477">H477</f>
        <v>0</v>
      </c>
      <c r="I476" s="114">
        <f t="shared" si="108"/>
        <v>0</v>
      </c>
      <c r="J476" s="114">
        <f t="shared" si="108"/>
        <v>0</v>
      </c>
      <c r="K476" s="26">
        <f t="shared" si="106"/>
        <v>0</v>
      </c>
      <c r="L476" s="114">
        <f aca="true" t="shared" si="109" ref="L476:P477">L477</f>
        <v>0</v>
      </c>
      <c r="M476" s="114">
        <f t="shared" si="109"/>
        <v>0</v>
      </c>
      <c r="N476" s="114">
        <f t="shared" si="109"/>
        <v>0</v>
      </c>
      <c r="O476" s="114">
        <f t="shared" si="109"/>
        <v>0</v>
      </c>
      <c r="P476" s="114">
        <f t="shared" si="109"/>
        <v>0</v>
      </c>
      <c r="Q476" s="26">
        <f t="shared" si="107"/>
        <v>0</v>
      </c>
    </row>
    <row r="477" spans="1:17" s="43" customFormat="1" ht="12.75" customHeight="1" hidden="1">
      <c r="A477" s="85" t="s">
        <v>423</v>
      </c>
      <c r="B477" s="85" t="s">
        <v>54</v>
      </c>
      <c r="C477" s="85" t="s">
        <v>1093</v>
      </c>
      <c r="D477" s="85"/>
      <c r="E477" s="87" t="s">
        <v>416</v>
      </c>
      <c r="F477" s="26">
        <f t="shared" si="105"/>
        <v>0</v>
      </c>
      <c r="G477" s="88">
        <f>G478</f>
        <v>0</v>
      </c>
      <c r="H477" s="88">
        <f t="shared" si="108"/>
        <v>0</v>
      </c>
      <c r="I477" s="88">
        <f t="shared" si="108"/>
        <v>0</v>
      </c>
      <c r="J477" s="88">
        <f t="shared" si="108"/>
        <v>0</v>
      </c>
      <c r="K477" s="26">
        <f t="shared" si="106"/>
        <v>0</v>
      </c>
      <c r="L477" s="88">
        <f t="shared" si="109"/>
        <v>0</v>
      </c>
      <c r="M477" s="88">
        <f t="shared" si="109"/>
        <v>0</v>
      </c>
      <c r="N477" s="88">
        <f t="shared" si="109"/>
        <v>0</v>
      </c>
      <c r="O477" s="88">
        <f t="shared" si="109"/>
        <v>0</v>
      </c>
      <c r="P477" s="88">
        <f t="shared" si="109"/>
        <v>0</v>
      </c>
      <c r="Q477" s="26">
        <f t="shared" si="107"/>
        <v>0</v>
      </c>
    </row>
    <row r="478" spans="1:17" s="169" customFormat="1" ht="102" hidden="1">
      <c r="A478" s="170" t="s">
        <v>365</v>
      </c>
      <c r="B478" s="170" t="s">
        <v>54</v>
      </c>
      <c r="C478" s="170" t="s">
        <v>990</v>
      </c>
      <c r="D478" s="170" t="s">
        <v>577</v>
      </c>
      <c r="E478" s="178" t="s">
        <v>366</v>
      </c>
      <c r="F478" s="173">
        <f t="shared" si="105"/>
        <v>0</v>
      </c>
      <c r="G478" s="173"/>
      <c r="H478" s="173"/>
      <c r="I478" s="173"/>
      <c r="J478" s="173"/>
      <c r="K478" s="173">
        <f t="shared" si="106"/>
        <v>0</v>
      </c>
      <c r="L478" s="173"/>
      <c r="M478" s="173"/>
      <c r="N478" s="173"/>
      <c r="O478" s="173"/>
      <c r="P478" s="173"/>
      <c r="Q478" s="173">
        <f t="shared" si="107"/>
        <v>0</v>
      </c>
    </row>
    <row r="479" spans="1:17" s="43" customFormat="1" ht="15.75" customHeight="1" hidden="1">
      <c r="A479" s="50" t="s">
        <v>364</v>
      </c>
      <c r="B479" s="28" t="s">
        <v>100</v>
      </c>
      <c r="C479" s="50" t="s">
        <v>1127</v>
      </c>
      <c r="D479" s="50" t="s">
        <v>924</v>
      </c>
      <c r="E479" s="25" t="s">
        <v>101</v>
      </c>
      <c r="F479" s="26">
        <f t="shared" si="105"/>
        <v>0</v>
      </c>
      <c r="G479" s="27"/>
      <c r="H479" s="27"/>
      <c r="I479" s="27"/>
      <c r="J479" s="27"/>
      <c r="K479" s="26">
        <f t="shared" si="106"/>
        <v>0</v>
      </c>
      <c r="L479" s="27"/>
      <c r="M479" s="27"/>
      <c r="N479" s="27"/>
      <c r="O479" s="27"/>
      <c r="P479" s="27"/>
      <c r="Q479" s="26">
        <f t="shared" si="107"/>
        <v>0</v>
      </c>
    </row>
    <row r="480" spans="1:18" s="68" customFormat="1" ht="39" customHeight="1">
      <c r="A480" s="72" t="s">
        <v>284</v>
      </c>
      <c r="B480" s="72" t="s">
        <v>167</v>
      </c>
      <c r="C480" s="62" t="s">
        <v>167</v>
      </c>
      <c r="D480" s="72"/>
      <c r="E480" s="65" t="s">
        <v>129</v>
      </c>
      <c r="F480" s="73">
        <f t="shared" si="105"/>
        <v>230641425</v>
      </c>
      <c r="G480" s="73">
        <f>G481</f>
        <v>230641425</v>
      </c>
      <c r="H480" s="73">
        <f aca="true" t="shared" si="110" ref="H480:J481">H481</f>
        <v>0</v>
      </c>
      <c r="I480" s="73">
        <f t="shared" si="110"/>
        <v>0</v>
      </c>
      <c r="J480" s="73">
        <f t="shared" si="110"/>
        <v>0</v>
      </c>
      <c r="K480" s="73">
        <f t="shared" si="106"/>
        <v>11938600</v>
      </c>
      <c r="L480" s="73">
        <f aca="true" t="shared" si="111" ref="L480:P481">L481</f>
        <v>0</v>
      </c>
      <c r="M480" s="73">
        <f t="shared" si="111"/>
        <v>0</v>
      </c>
      <c r="N480" s="73">
        <f t="shared" si="111"/>
        <v>0</v>
      </c>
      <c r="O480" s="73">
        <f t="shared" si="111"/>
        <v>11938600</v>
      </c>
      <c r="P480" s="73">
        <f t="shared" si="111"/>
        <v>11938600</v>
      </c>
      <c r="Q480" s="74">
        <f t="shared" si="107"/>
        <v>242580025</v>
      </c>
      <c r="R480" s="194"/>
    </row>
    <row r="481" spans="1:17" s="68" customFormat="1" ht="39" customHeight="1">
      <c r="A481" s="75" t="s">
        <v>285</v>
      </c>
      <c r="B481" s="75"/>
      <c r="C481" s="75"/>
      <c r="D481" s="75"/>
      <c r="E481" s="76" t="s">
        <v>129</v>
      </c>
      <c r="F481" s="77">
        <f t="shared" si="105"/>
        <v>230641425</v>
      </c>
      <c r="G481" s="77">
        <f>G482</f>
        <v>230641425</v>
      </c>
      <c r="H481" s="77">
        <f t="shared" si="110"/>
        <v>0</v>
      </c>
      <c r="I481" s="77">
        <f t="shared" si="110"/>
        <v>0</v>
      </c>
      <c r="J481" s="77">
        <f t="shared" si="110"/>
        <v>0</v>
      </c>
      <c r="K481" s="77">
        <f t="shared" si="106"/>
        <v>11938600</v>
      </c>
      <c r="L481" s="77">
        <f t="shared" si="111"/>
        <v>0</v>
      </c>
      <c r="M481" s="77">
        <f t="shared" si="111"/>
        <v>0</v>
      </c>
      <c r="N481" s="77">
        <f t="shared" si="111"/>
        <v>0</v>
      </c>
      <c r="O481" s="77">
        <f t="shared" si="111"/>
        <v>11938600</v>
      </c>
      <c r="P481" s="77">
        <f t="shared" si="111"/>
        <v>11938600</v>
      </c>
      <c r="Q481" s="77">
        <f t="shared" si="107"/>
        <v>242580025</v>
      </c>
    </row>
    <row r="482" spans="1:17" s="68" customFormat="1" ht="27.75" customHeight="1">
      <c r="A482" s="112" t="s">
        <v>714</v>
      </c>
      <c r="B482" s="111" t="s">
        <v>634</v>
      </c>
      <c r="C482" s="111" t="s">
        <v>1021</v>
      </c>
      <c r="D482" s="111"/>
      <c r="E482" s="113" t="s">
        <v>635</v>
      </c>
      <c r="F482" s="123">
        <f aca="true" t="shared" si="112" ref="F482:F487">G482+J482</f>
        <v>230641425</v>
      </c>
      <c r="G482" s="123">
        <f>G483+G484+G485+G486</f>
        <v>230641425</v>
      </c>
      <c r="H482" s="123">
        <f>H483+H484+H485+H486</f>
        <v>0</v>
      </c>
      <c r="I482" s="123">
        <f>I483+I484+I485+I486</f>
        <v>0</v>
      </c>
      <c r="J482" s="123">
        <f>J483+J484+J485+J486</f>
        <v>0</v>
      </c>
      <c r="K482" s="77">
        <f aca="true" t="shared" si="113" ref="K482:K487">L482+O482</f>
        <v>11938600</v>
      </c>
      <c r="L482" s="123">
        <f>L483+L484+L485+L486</f>
        <v>0</v>
      </c>
      <c r="M482" s="123">
        <f>M483+M484+M485+M486</f>
        <v>0</v>
      </c>
      <c r="N482" s="123">
        <f>N483+N484+N485+N486</f>
        <v>0</v>
      </c>
      <c r="O482" s="123">
        <f>O483+O484+O485+O486</f>
        <v>11938600</v>
      </c>
      <c r="P482" s="123">
        <f>P483+P484+P485+P486</f>
        <v>11938600</v>
      </c>
      <c r="Q482" s="123">
        <f aca="true" t="shared" si="114" ref="Q482:Q487">F482+K482</f>
        <v>242580025</v>
      </c>
    </row>
    <row r="483" spans="1:17" s="68" customFormat="1" ht="12.75" hidden="1">
      <c r="A483" s="50" t="s">
        <v>569</v>
      </c>
      <c r="B483" s="59" t="s">
        <v>529</v>
      </c>
      <c r="C483" s="59" t="s">
        <v>983</v>
      </c>
      <c r="D483" s="59" t="s">
        <v>577</v>
      </c>
      <c r="E483" s="49" t="s">
        <v>530</v>
      </c>
      <c r="F483" s="77">
        <f t="shared" si="112"/>
        <v>0</v>
      </c>
      <c r="G483" s="77"/>
      <c r="H483" s="77"/>
      <c r="I483" s="77"/>
      <c r="J483" s="77"/>
      <c r="K483" s="77">
        <f t="shared" si="113"/>
        <v>0</v>
      </c>
      <c r="L483" s="77"/>
      <c r="M483" s="77"/>
      <c r="N483" s="77"/>
      <c r="O483" s="77"/>
      <c r="P483" s="77"/>
      <c r="Q483" s="77">
        <f t="shared" si="114"/>
        <v>0</v>
      </c>
    </row>
    <row r="484" spans="1:17" s="70" customFormat="1" ht="12.75">
      <c r="A484" s="75" t="s">
        <v>21</v>
      </c>
      <c r="B484" s="75" t="s">
        <v>55</v>
      </c>
      <c r="C484" s="59" t="s">
        <v>1128</v>
      </c>
      <c r="D484" s="59" t="s">
        <v>613</v>
      </c>
      <c r="E484" s="49" t="s">
        <v>925</v>
      </c>
      <c r="F484" s="77">
        <f t="shared" si="112"/>
        <v>228235100</v>
      </c>
      <c r="G484" s="77">
        <v>228235100</v>
      </c>
      <c r="H484" s="77"/>
      <c r="I484" s="77"/>
      <c r="J484" s="77"/>
      <c r="K484" s="77">
        <f t="shared" si="113"/>
        <v>0</v>
      </c>
      <c r="L484" s="77"/>
      <c r="M484" s="77"/>
      <c r="N484" s="77"/>
      <c r="O484" s="77"/>
      <c r="P484" s="77"/>
      <c r="Q484" s="77">
        <f t="shared" si="114"/>
        <v>228235100</v>
      </c>
    </row>
    <row r="485" spans="1:17" s="71" customFormat="1" ht="51">
      <c r="A485" s="59" t="s">
        <v>715</v>
      </c>
      <c r="B485" s="78" t="s">
        <v>116</v>
      </c>
      <c r="C485" s="50" t="s">
        <v>1129</v>
      </c>
      <c r="D485" s="50" t="s">
        <v>613</v>
      </c>
      <c r="E485" s="48" t="s">
        <v>144</v>
      </c>
      <c r="F485" s="77">
        <f t="shared" si="112"/>
        <v>2406325</v>
      </c>
      <c r="G485" s="52">
        <f>1217890+1222000+359635+84520-200000-277720</f>
        <v>2406325</v>
      </c>
      <c r="H485" s="52"/>
      <c r="I485" s="52"/>
      <c r="J485" s="52"/>
      <c r="K485" s="77">
        <f t="shared" si="113"/>
        <v>11938600</v>
      </c>
      <c r="L485" s="52"/>
      <c r="M485" s="52"/>
      <c r="N485" s="52"/>
      <c r="O485" s="52">
        <f>P485</f>
        <v>11938600</v>
      </c>
      <c r="P485" s="52">
        <f>6967400-1222000+2200000-84520-2000000+6000000-200000+277720</f>
        <v>11938600</v>
      </c>
      <c r="Q485" s="77">
        <f t="shared" si="114"/>
        <v>14344925</v>
      </c>
    </row>
    <row r="486" spans="1:17" s="71" customFormat="1" ht="12.75" hidden="1">
      <c r="A486" s="78" t="s">
        <v>481</v>
      </c>
      <c r="B486" s="78" t="s">
        <v>480</v>
      </c>
      <c r="C486" s="50" t="s">
        <v>1130</v>
      </c>
      <c r="D486" s="50" t="s">
        <v>613</v>
      </c>
      <c r="E486" s="79" t="s">
        <v>482</v>
      </c>
      <c r="F486" s="77">
        <f t="shared" si="112"/>
        <v>0</v>
      </c>
      <c r="G486" s="52">
        <f>G487</f>
        <v>0</v>
      </c>
      <c r="H486" s="52">
        <f>H487</f>
        <v>0</v>
      </c>
      <c r="I486" s="52">
        <f>I487</f>
        <v>0</v>
      </c>
      <c r="J486" s="52">
        <f>J487</f>
        <v>0</v>
      </c>
      <c r="K486" s="77">
        <f t="shared" si="113"/>
        <v>0</v>
      </c>
      <c r="L486" s="52">
        <f>L487</f>
        <v>0</v>
      </c>
      <c r="M486" s="52">
        <f>M487</f>
        <v>0</v>
      </c>
      <c r="N486" s="52">
        <f>N487</f>
        <v>0</v>
      </c>
      <c r="O486" s="52">
        <f>O487</f>
        <v>0</v>
      </c>
      <c r="P486" s="52">
        <f>P487</f>
        <v>0</v>
      </c>
      <c r="Q486" s="77">
        <f t="shared" si="114"/>
        <v>0</v>
      </c>
    </row>
    <row r="487" spans="1:17" s="71" customFormat="1" ht="12.75" hidden="1">
      <c r="A487" s="159" t="s">
        <v>926</v>
      </c>
      <c r="B487" s="78"/>
      <c r="C487" s="78"/>
      <c r="D487" s="50"/>
      <c r="E487" s="79"/>
      <c r="F487" s="77">
        <f t="shared" si="112"/>
        <v>0</v>
      </c>
      <c r="G487" s="52"/>
      <c r="H487" s="52"/>
      <c r="I487" s="52"/>
      <c r="J487" s="52"/>
      <c r="K487" s="77">
        <f t="shared" si="113"/>
        <v>0</v>
      </c>
      <c r="L487" s="52"/>
      <c r="M487" s="52"/>
      <c r="N487" s="52"/>
      <c r="O487" s="52"/>
      <c r="P487" s="52"/>
      <c r="Q487" s="77">
        <f t="shared" si="114"/>
        <v>0</v>
      </c>
    </row>
    <row r="488" spans="1:18" s="12" customFormat="1" ht="40.5" customHeight="1">
      <c r="A488" s="11" t="s">
        <v>286</v>
      </c>
      <c r="B488" s="11" t="s">
        <v>145</v>
      </c>
      <c r="C488" s="11" t="s">
        <v>145</v>
      </c>
      <c r="D488" s="11"/>
      <c r="E488" s="13" t="s">
        <v>787</v>
      </c>
      <c r="F488" s="21">
        <f>G488+J488</f>
        <v>18447814</v>
      </c>
      <c r="G488" s="21">
        <f>G489</f>
        <v>18447814</v>
      </c>
      <c r="H488" s="21">
        <f>H489</f>
        <v>5454956</v>
      </c>
      <c r="I488" s="21">
        <f>I489</f>
        <v>669422</v>
      </c>
      <c r="J488" s="21">
        <f>J489</f>
        <v>0</v>
      </c>
      <c r="K488" s="21">
        <f>L488+O488</f>
        <v>927486</v>
      </c>
      <c r="L488" s="21">
        <f>L489</f>
        <v>156779</v>
      </c>
      <c r="M488" s="21">
        <f>M489</f>
        <v>0</v>
      </c>
      <c r="N488" s="21">
        <f>N489</f>
        <v>0</v>
      </c>
      <c r="O488" s="21">
        <f>O489</f>
        <v>770707</v>
      </c>
      <c r="P488" s="21">
        <f>P489</f>
        <v>770707</v>
      </c>
      <c r="Q488" s="20">
        <f>F488+K488</f>
        <v>19375300</v>
      </c>
      <c r="R488" s="192"/>
    </row>
    <row r="489" spans="1:17" s="2" customFormat="1" ht="39" customHeight="1">
      <c r="A489" s="7" t="s">
        <v>287</v>
      </c>
      <c r="B489" s="7"/>
      <c r="C489" s="7"/>
      <c r="D489" s="7"/>
      <c r="E489" s="3" t="s">
        <v>788</v>
      </c>
      <c r="F489" s="18">
        <f>G489+J489</f>
        <v>18447814</v>
      </c>
      <c r="G489" s="18">
        <f>G490+G492+G495+G497+G508</f>
        <v>18447814</v>
      </c>
      <c r="H489" s="18">
        <f>H490+H492+H495+H497+H508</f>
        <v>5454956</v>
      </c>
      <c r="I489" s="18">
        <f>I490+I492+I495+I497+I508</f>
        <v>669422</v>
      </c>
      <c r="J489" s="18">
        <f>J490+J492+J495+J497+J508</f>
        <v>0</v>
      </c>
      <c r="K489" s="18">
        <f>L489+O489</f>
        <v>927486</v>
      </c>
      <c r="L489" s="18">
        <f>L490+L492+L495+L497+L508</f>
        <v>156779</v>
      </c>
      <c r="M489" s="18">
        <f>M490+M492+M495+M497+M508</f>
        <v>0</v>
      </c>
      <c r="N489" s="18">
        <f>N490+N492+N495+N497+N508</f>
        <v>0</v>
      </c>
      <c r="O489" s="18">
        <f>O490+O492+O495+O497+O508</f>
        <v>770707</v>
      </c>
      <c r="P489" s="18">
        <f>P490+P492+P495+P497+P508</f>
        <v>770707</v>
      </c>
      <c r="Q489" s="18">
        <f>F489+K489</f>
        <v>19375300</v>
      </c>
    </row>
    <row r="490" spans="1:17" s="2" customFormat="1" ht="12.75">
      <c r="A490" s="116" t="s">
        <v>716</v>
      </c>
      <c r="B490" s="116" t="s">
        <v>671</v>
      </c>
      <c r="C490" s="116" t="s">
        <v>972</v>
      </c>
      <c r="D490" s="116"/>
      <c r="E490" s="124" t="s">
        <v>673</v>
      </c>
      <c r="F490" s="121">
        <f aca="true" t="shared" si="115" ref="F490:F498">G490+J490</f>
        <v>9086565</v>
      </c>
      <c r="G490" s="121">
        <f>G491</f>
        <v>9086565</v>
      </c>
      <c r="H490" s="121">
        <f>H491</f>
        <v>5454956</v>
      </c>
      <c r="I490" s="121">
        <f>I491</f>
        <v>513900</v>
      </c>
      <c r="J490" s="121">
        <f>J491</f>
        <v>0</v>
      </c>
      <c r="K490" s="121">
        <f aca="true" t="shared" si="116" ref="K490:K498">L490+O490</f>
        <v>799696</v>
      </c>
      <c r="L490" s="121">
        <f>L491</f>
        <v>156779</v>
      </c>
      <c r="M490" s="121">
        <f>M491</f>
        <v>0</v>
      </c>
      <c r="N490" s="121">
        <f>N491</f>
        <v>0</v>
      </c>
      <c r="O490" s="121">
        <f>O491</f>
        <v>642917</v>
      </c>
      <c r="P490" s="121">
        <f>P491</f>
        <v>642917</v>
      </c>
      <c r="Q490" s="121">
        <f aca="true" t="shared" si="117" ref="Q490:Q498">F490+K490</f>
        <v>9886261</v>
      </c>
    </row>
    <row r="491" spans="1:17" s="2" customFormat="1" ht="62.25" customHeight="1">
      <c r="A491" s="7" t="s">
        <v>20</v>
      </c>
      <c r="B491" s="7" t="s">
        <v>33</v>
      </c>
      <c r="C491" s="7" t="s">
        <v>613</v>
      </c>
      <c r="D491" s="7" t="s">
        <v>574</v>
      </c>
      <c r="E491" s="51" t="s">
        <v>888</v>
      </c>
      <c r="F491" s="18">
        <f t="shared" si="115"/>
        <v>9086565</v>
      </c>
      <c r="G491" s="18">
        <f>6644006+(2121747)-281235-573217+1159214+16050</f>
        <v>9086565</v>
      </c>
      <c r="H491" s="18">
        <f>4431938+58740+951039+13239</f>
        <v>5454956</v>
      </c>
      <c r="I491" s="18">
        <v>513900</v>
      </c>
      <c r="J491" s="18"/>
      <c r="K491" s="18">
        <f t="shared" si="116"/>
        <v>799696</v>
      </c>
      <c r="L491" s="18">
        <v>156779</v>
      </c>
      <c r="M491" s="18"/>
      <c r="N491" s="18"/>
      <c r="O491" s="18">
        <f>P491</f>
        <v>642917</v>
      </c>
      <c r="P491" s="18">
        <v>642917</v>
      </c>
      <c r="Q491" s="18">
        <f t="shared" si="117"/>
        <v>9886261</v>
      </c>
    </row>
    <row r="492" spans="1:17" s="2" customFormat="1" ht="12.75">
      <c r="A492" s="116" t="s">
        <v>717</v>
      </c>
      <c r="B492" s="117" t="s">
        <v>663</v>
      </c>
      <c r="C492" s="117" t="s">
        <v>1094</v>
      </c>
      <c r="D492" s="117"/>
      <c r="E492" s="124" t="s">
        <v>665</v>
      </c>
      <c r="F492" s="121">
        <f t="shared" si="115"/>
        <v>8964843</v>
      </c>
      <c r="G492" s="121">
        <f>G493+G494</f>
        <v>8964843</v>
      </c>
      <c r="H492" s="121">
        <f>H493+H494</f>
        <v>0</v>
      </c>
      <c r="I492" s="121">
        <f>I493+I494</f>
        <v>155522</v>
      </c>
      <c r="J492" s="121">
        <f>J493+J494</f>
        <v>0</v>
      </c>
      <c r="K492" s="121">
        <f t="shared" si="116"/>
        <v>127790</v>
      </c>
      <c r="L492" s="121">
        <f>L493+L494</f>
        <v>0</v>
      </c>
      <c r="M492" s="121">
        <f>M493+M494</f>
        <v>0</v>
      </c>
      <c r="N492" s="121">
        <f>N493+N494</f>
        <v>0</v>
      </c>
      <c r="O492" s="121">
        <f>O493+O494</f>
        <v>127790</v>
      </c>
      <c r="P492" s="121">
        <f>P493+P494</f>
        <v>127790</v>
      </c>
      <c r="Q492" s="121">
        <f t="shared" si="117"/>
        <v>9092633</v>
      </c>
    </row>
    <row r="493" spans="1:17" s="2" customFormat="1" ht="51">
      <c r="A493" s="112" t="s">
        <v>769</v>
      </c>
      <c r="B493" s="112" t="s">
        <v>321</v>
      </c>
      <c r="C493" s="112" t="s">
        <v>1095</v>
      </c>
      <c r="D493" s="112" t="s">
        <v>606</v>
      </c>
      <c r="E493" s="113" t="s">
        <v>328</v>
      </c>
      <c r="F493" s="121">
        <f t="shared" si="115"/>
        <v>5222045</v>
      </c>
      <c r="G493" s="121">
        <f>4105154+2000000-883109</f>
        <v>5222045</v>
      </c>
      <c r="H493" s="121"/>
      <c r="I493" s="121"/>
      <c r="J493" s="121"/>
      <c r="K493" s="121">
        <f t="shared" si="116"/>
        <v>0</v>
      </c>
      <c r="L493" s="121"/>
      <c r="M493" s="121"/>
      <c r="N493" s="121"/>
      <c r="O493" s="121"/>
      <c r="P493" s="121"/>
      <c r="Q493" s="121">
        <f t="shared" si="117"/>
        <v>5222045</v>
      </c>
    </row>
    <row r="494" spans="1:17" s="2" customFormat="1" ht="12.75">
      <c r="A494" s="112" t="s">
        <v>395</v>
      </c>
      <c r="B494" s="112" t="s">
        <v>123</v>
      </c>
      <c r="C494" s="112" t="s">
        <v>1106</v>
      </c>
      <c r="D494" s="112" t="s">
        <v>607</v>
      </c>
      <c r="E494" s="113" t="s">
        <v>125</v>
      </c>
      <c r="F494" s="121">
        <f t="shared" si="115"/>
        <v>3742798</v>
      </c>
      <c r="G494" s="121">
        <f>3614476+(22232)+22000-(22232)+(5000)-12533-(555)-28694-12633-(4445)-5221+165403</f>
        <v>3742798</v>
      </c>
      <c r="H494" s="121"/>
      <c r="I494" s="121">
        <v>155522</v>
      </c>
      <c r="J494" s="121"/>
      <c r="K494" s="121">
        <f t="shared" si="116"/>
        <v>127790</v>
      </c>
      <c r="L494" s="121"/>
      <c r="M494" s="121"/>
      <c r="N494" s="121"/>
      <c r="O494" s="121">
        <f>P494</f>
        <v>127790</v>
      </c>
      <c r="P494" s="121">
        <f>((20000))+12533+(40000)+12633+42624</f>
        <v>127790</v>
      </c>
      <c r="Q494" s="121">
        <f t="shared" si="117"/>
        <v>3870588</v>
      </c>
    </row>
    <row r="495" spans="1:17" s="2" customFormat="1" ht="12.75" hidden="1">
      <c r="A495" s="112" t="s">
        <v>791</v>
      </c>
      <c r="B495" s="111" t="s">
        <v>628</v>
      </c>
      <c r="C495" s="111" t="s">
        <v>1020</v>
      </c>
      <c r="D495" s="111"/>
      <c r="E495" s="127" t="s">
        <v>630</v>
      </c>
      <c r="F495" s="18">
        <f t="shared" si="115"/>
        <v>0</v>
      </c>
      <c r="G495" s="18">
        <f>G496</f>
        <v>0</v>
      </c>
      <c r="H495" s="18">
        <f>H496</f>
        <v>0</v>
      </c>
      <c r="I495" s="18">
        <f>I496</f>
        <v>0</v>
      </c>
      <c r="J495" s="18">
        <f>J496</f>
        <v>0</v>
      </c>
      <c r="K495" s="18">
        <f t="shared" si="116"/>
        <v>0</v>
      </c>
      <c r="L495" s="18">
        <f>L496</f>
        <v>0</v>
      </c>
      <c r="M495" s="18">
        <f>M496</f>
        <v>0</v>
      </c>
      <c r="N495" s="18">
        <f>N496</f>
        <v>0</v>
      </c>
      <c r="O495" s="18">
        <f>O496</f>
        <v>0</v>
      </c>
      <c r="P495" s="18">
        <f>P496</f>
        <v>0</v>
      </c>
      <c r="Q495" s="18">
        <f t="shared" si="117"/>
        <v>0</v>
      </c>
    </row>
    <row r="496" spans="1:17" s="2" customFormat="1" ht="25.5" hidden="1">
      <c r="A496" s="50" t="s">
        <v>288</v>
      </c>
      <c r="B496" s="28" t="s">
        <v>87</v>
      </c>
      <c r="C496" s="50" t="s">
        <v>980</v>
      </c>
      <c r="D496" s="50" t="s">
        <v>576</v>
      </c>
      <c r="E496" s="51" t="s">
        <v>174</v>
      </c>
      <c r="F496" s="27">
        <f t="shared" si="115"/>
        <v>0</v>
      </c>
      <c r="G496" s="27"/>
      <c r="H496" s="27"/>
      <c r="I496" s="27"/>
      <c r="J496" s="27"/>
      <c r="K496" s="27">
        <f t="shared" si="116"/>
        <v>0</v>
      </c>
      <c r="L496" s="27"/>
      <c r="M496" s="27"/>
      <c r="N496" s="27"/>
      <c r="O496" s="27"/>
      <c r="P496" s="27"/>
      <c r="Q496" s="27">
        <f t="shared" si="117"/>
        <v>0</v>
      </c>
    </row>
    <row r="497" spans="1:17" s="2" customFormat="1" ht="24" customHeight="1">
      <c r="A497" s="116" t="s">
        <v>718</v>
      </c>
      <c r="B497" s="116" t="s">
        <v>634</v>
      </c>
      <c r="C497" s="116" t="s">
        <v>1021</v>
      </c>
      <c r="D497" s="116"/>
      <c r="E497" s="125" t="s">
        <v>635</v>
      </c>
      <c r="F497" s="121">
        <f t="shared" si="115"/>
        <v>396406</v>
      </c>
      <c r="G497" s="121">
        <f>G498</f>
        <v>396406</v>
      </c>
      <c r="H497" s="121">
        <f>H498</f>
        <v>0</v>
      </c>
      <c r="I497" s="121">
        <f>I498</f>
        <v>0</v>
      </c>
      <c r="J497" s="121">
        <f>J498</f>
        <v>0</v>
      </c>
      <c r="K497" s="121">
        <f t="shared" si="116"/>
        <v>0</v>
      </c>
      <c r="L497" s="121">
        <f>L498</f>
        <v>0</v>
      </c>
      <c r="M497" s="121">
        <f>M498</f>
        <v>0</v>
      </c>
      <c r="N497" s="121">
        <f>N498</f>
        <v>0</v>
      </c>
      <c r="O497" s="121">
        <f>O498</f>
        <v>0</v>
      </c>
      <c r="P497" s="121">
        <f>P498</f>
        <v>0</v>
      </c>
      <c r="Q497" s="121">
        <f t="shared" si="117"/>
        <v>396406</v>
      </c>
    </row>
    <row r="498" spans="1:17" s="2" customFormat="1" ht="12.75">
      <c r="A498" s="89" t="s">
        <v>424</v>
      </c>
      <c r="B498" s="89" t="s">
        <v>54</v>
      </c>
      <c r="C498" s="89" t="s">
        <v>1093</v>
      </c>
      <c r="D498" s="89" t="s">
        <v>577</v>
      </c>
      <c r="E498" s="99" t="s">
        <v>416</v>
      </c>
      <c r="F498" s="92">
        <f t="shared" si="115"/>
        <v>396406</v>
      </c>
      <c r="G498" s="92">
        <f>SUM(G499:G507)</f>
        <v>396406</v>
      </c>
      <c r="H498" s="92">
        <f>SUM(H499:H507)</f>
        <v>0</v>
      </c>
      <c r="I498" s="92">
        <f>SUM(I499:I507)</f>
        <v>0</v>
      </c>
      <c r="J498" s="92">
        <f>SUM(J499:J507)</f>
        <v>0</v>
      </c>
      <c r="K498" s="92">
        <f t="shared" si="116"/>
        <v>0</v>
      </c>
      <c r="L498" s="92">
        <f>SUM(L499:L507)</f>
        <v>0</v>
      </c>
      <c r="M498" s="92">
        <f>SUM(M499:M507)</f>
        <v>0</v>
      </c>
      <c r="N498" s="92">
        <f>SUM(N499:N507)</f>
        <v>0</v>
      </c>
      <c r="O498" s="92">
        <f>SUM(O499:O507)</f>
        <v>0</v>
      </c>
      <c r="P498" s="92">
        <f>SUM(P499:P507)</f>
        <v>0</v>
      </c>
      <c r="Q498" s="92">
        <f t="shared" si="117"/>
        <v>396406</v>
      </c>
    </row>
    <row r="499" spans="1:17" s="169" customFormat="1" ht="51" hidden="1">
      <c r="A499" s="170" t="s">
        <v>927</v>
      </c>
      <c r="B499" s="170" t="s">
        <v>54</v>
      </c>
      <c r="C499" s="170" t="s">
        <v>984</v>
      </c>
      <c r="D499" s="170" t="s">
        <v>577</v>
      </c>
      <c r="E499" s="178" t="s">
        <v>178</v>
      </c>
      <c r="F499" s="173">
        <f>G499+J499</f>
        <v>0</v>
      </c>
      <c r="G499" s="176"/>
      <c r="H499" s="176"/>
      <c r="I499" s="176"/>
      <c r="J499" s="176"/>
      <c r="K499" s="173">
        <f>L499+O499</f>
        <v>0</v>
      </c>
      <c r="L499" s="176"/>
      <c r="M499" s="176"/>
      <c r="N499" s="176"/>
      <c r="O499" s="176"/>
      <c r="P499" s="176"/>
      <c r="Q499" s="173">
        <f>F499+K499</f>
        <v>0</v>
      </c>
    </row>
    <row r="500" spans="1:17" s="181" customFormat="1" ht="41.25" customHeight="1" hidden="1">
      <c r="A500" s="170" t="s">
        <v>367</v>
      </c>
      <c r="B500" s="171" t="s">
        <v>54</v>
      </c>
      <c r="C500" s="170" t="s">
        <v>985</v>
      </c>
      <c r="D500" s="170" t="s">
        <v>577</v>
      </c>
      <c r="E500" s="178" t="s">
        <v>853</v>
      </c>
      <c r="F500" s="173">
        <f aca="true" t="shared" si="118" ref="F500:F507">G500+J500</f>
        <v>256309</v>
      </c>
      <c r="G500" s="180">
        <v>256309</v>
      </c>
      <c r="H500" s="180"/>
      <c r="I500" s="180"/>
      <c r="J500" s="180"/>
      <c r="K500" s="173">
        <f aca="true" t="shared" si="119" ref="K500:K508">L500+O500</f>
        <v>0</v>
      </c>
      <c r="L500" s="173"/>
      <c r="M500" s="173"/>
      <c r="N500" s="173"/>
      <c r="O500" s="173"/>
      <c r="P500" s="173"/>
      <c r="Q500" s="173">
        <f aca="true" t="shared" si="120" ref="Q500:Q508">F500+K500</f>
        <v>256309</v>
      </c>
    </row>
    <row r="501" spans="1:17" s="169" customFormat="1" ht="51" customHeight="1" hidden="1">
      <c r="A501" s="170" t="s">
        <v>396</v>
      </c>
      <c r="B501" s="170" t="s">
        <v>54</v>
      </c>
      <c r="C501" s="170" t="s">
        <v>986</v>
      </c>
      <c r="D501" s="170" t="s">
        <v>577</v>
      </c>
      <c r="E501" s="178" t="s">
        <v>333</v>
      </c>
      <c r="F501" s="173">
        <f t="shared" si="118"/>
        <v>44235</v>
      </c>
      <c r="G501" s="173">
        <v>44235</v>
      </c>
      <c r="H501" s="173"/>
      <c r="I501" s="173"/>
      <c r="J501" s="173"/>
      <c r="K501" s="173">
        <f t="shared" si="119"/>
        <v>0</v>
      </c>
      <c r="L501" s="173"/>
      <c r="M501" s="173"/>
      <c r="N501" s="173"/>
      <c r="O501" s="173"/>
      <c r="P501" s="173"/>
      <c r="Q501" s="173">
        <f t="shared" si="120"/>
        <v>44235</v>
      </c>
    </row>
    <row r="502" spans="1:17" s="169" customFormat="1" ht="50.25" customHeight="1" hidden="1">
      <c r="A502" s="170" t="s">
        <v>928</v>
      </c>
      <c r="B502" s="170" t="s">
        <v>54</v>
      </c>
      <c r="C502" s="170" t="s">
        <v>987</v>
      </c>
      <c r="D502" s="170" t="s">
        <v>577</v>
      </c>
      <c r="E502" s="178" t="s">
        <v>479</v>
      </c>
      <c r="F502" s="173">
        <f t="shared" si="118"/>
        <v>0</v>
      </c>
      <c r="G502" s="173"/>
      <c r="H502" s="173"/>
      <c r="I502" s="173"/>
      <c r="J502" s="173"/>
      <c r="K502" s="173">
        <f t="shared" si="119"/>
        <v>0</v>
      </c>
      <c r="L502" s="173"/>
      <c r="M502" s="173"/>
      <c r="N502" s="173"/>
      <c r="O502" s="173"/>
      <c r="P502" s="173"/>
      <c r="Q502" s="173">
        <f t="shared" si="120"/>
        <v>0</v>
      </c>
    </row>
    <row r="503" spans="1:17" s="169" customFormat="1" ht="53.25" customHeight="1" hidden="1">
      <c r="A503" s="170" t="s">
        <v>438</v>
      </c>
      <c r="B503" s="170" t="s">
        <v>54</v>
      </c>
      <c r="C503" s="170" t="s">
        <v>988</v>
      </c>
      <c r="D503" s="170" t="s">
        <v>577</v>
      </c>
      <c r="E503" s="178" t="s">
        <v>362</v>
      </c>
      <c r="F503" s="173">
        <f t="shared" si="118"/>
        <v>0</v>
      </c>
      <c r="G503" s="173"/>
      <c r="H503" s="173"/>
      <c r="I503" s="173"/>
      <c r="J503" s="173"/>
      <c r="K503" s="173">
        <f t="shared" si="119"/>
        <v>0</v>
      </c>
      <c r="L503" s="173"/>
      <c r="M503" s="173"/>
      <c r="N503" s="173"/>
      <c r="O503" s="173"/>
      <c r="P503" s="173"/>
      <c r="Q503" s="173">
        <f t="shared" si="120"/>
        <v>0</v>
      </c>
    </row>
    <row r="504" spans="1:17" s="169" customFormat="1" ht="51" hidden="1">
      <c r="A504" s="170" t="s">
        <v>463</v>
      </c>
      <c r="B504" s="170" t="s">
        <v>54</v>
      </c>
      <c r="C504" s="170" t="s">
        <v>989</v>
      </c>
      <c r="D504" s="170" t="s">
        <v>577</v>
      </c>
      <c r="E504" s="178" t="s">
        <v>320</v>
      </c>
      <c r="F504" s="173">
        <f t="shared" si="118"/>
        <v>78694</v>
      </c>
      <c r="G504" s="173">
        <f>50000+28694</f>
        <v>78694</v>
      </c>
      <c r="H504" s="173"/>
      <c r="I504" s="173"/>
      <c r="J504" s="173"/>
      <c r="K504" s="173">
        <f t="shared" si="119"/>
        <v>0</v>
      </c>
      <c r="L504" s="173"/>
      <c r="M504" s="173"/>
      <c r="N504" s="173"/>
      <c r="O504" s="173"/>
      <c r="P504" s="173"/>
      <c r="Q504" s="173">
        <f t="shared" si="120"/>
        <v>78694</v>
      </c>
    </row>
    <row r="505" spans="1:17" s="169" customFormat="1" ht="102" customHeight="1" hidden="1">
      <c r="A505" s="170" t="s">
        <v>929</v>
      </c>
      <c r="B505" s="170" t="s">
        <v>54</v>
      </c>
      <c r="C505" s="170" t="s">
        <v>990</v>
      </c>
      <c r="D505" s="170" t="s">
        <v>577</v>
      </c>
      <c r="E505" s="178" t="s">
        <v>366</v>
      </c>
      <c r="F505" s="173">
        <f t="shared" si="118"/>
        <v>0</v>
      </c>
      <c r="G505" s="176"/>
      <c r="H505" s="176"/>
      <c r="I505" s="176"/>
      <c r="J505" s="176"/>
      <c r="K505" s="173">
        <f t="shared" si="119"/>
        <v>0</v>
      </c>
      <c r="L505" s="176"/>
      <c r="M505" s="176"/>
      <c r="N505" s="176"/>
      <c r="O505" s="176"/>
      <c r="P505" s="176"/>
      <c r="Q505" s="173">
        <f t="shared" si="120"/>
        <v>0</v>
      </c>
    </row>
    <row r="506" spans="1:17" s="169" customFormat="1" ht="25.5" hidden="1">
      <c r="A506" s="170" t="s">
        <v>443</v>
      </c>
      <c r="B506" s="170" t="s">
        <v>54</v>
      </c>
      <c r="C506" s="170" t="s">
        <v>991</v>
      </c>
      <c r="D506" s="170" t="s">
        <v>577</v>
      </c>
      <c r="E506" s="178" t="s">
        <v>886</v>
      </c>
      <c r="F506" s="173">
        <f t="shared" si="118"/>
        <v>17168</v>
      </c>
      <c r="G506" s="176">
        <f>11947+5221</f>
        <v>17168</v>
      </c>
      <c r="H506" s="176"/>
      <c r="I506" s="176"/>
      <c r="J506" s="176"/>
      <c r="K506" s="173">
        <f t="shared" si="119"/>
        <v>0</v>
      </c>
      <c r="L506" s="176"/>
      <c r="M506" s="176"/>
      <c r="N506" s="176"/>
      <c r="O506" s="176"/>
      <c r="P506" s="176"/>
      <c r="Q506" s="173">
        <f t="shared" si="120"/>
        <v>17168</v>
      </c>
    </row>
    <row r="507" spans="1:17" s="43" customFormat="1" ht="15" customHeight="1" hidden="1">
      <c r="A507" s="59" t="s">
        <v>930</v>
      </c>
      <c r="B507" s="31" t="s">
        <v>54</v>
      </c>
      <c r="C507" s="59" t="s">
        <v>1131</v>
      </c>
      <c r="D507" s="59" t="s">
        <v>577</v>
      </c>
      <c r="E507" s="48" t="s">
        <v>834</v>
      </c>
      <c r="F507" s="26">
        <f t="shared" si="118"/>
        <v>0</v>
      </c>
      <c r="G507" s="26"/>
      <c r="H507" s="26"/>
      <c r="I507" s="26"/>
      <c r="J507" s="26"/>
      <c r="K507" s="26">
        <f t="shared" si="119"/>
        <v>0</v>
      </c>
      <c r="L507" s="26"/>
      <c r="M507" s="26"/>
      <c r="N507" s="26"/>
      <c r="O507" s="26"/>
      <c r="P507" s="26"/>
      <c r="Q507" s="26">
        <f t="shared" si="120"/>
        <v>0</v>
      </c>
    </row>
    <row r="508" spans="1:17" ht="12.75" hidden="1">
      <c r="A508" s="112" t="s">
        <v>931</v>
      </c>
      <c r="B508" s="112" t="s">
        <v>98</v>
      </c>
      <c r="C508" s="112" t="s">
        <v>1015</v>
      </c>
      <c r="D508" s="112"/>
      <c r="E508" s="115" t="s">
        <v>99</v>
      </c>
      <c r="F508" s="18">
        <f>G508+J508</f>
        <v>0</v>
      </c>
      <c r="G508" s="27">
        <f>G509</f>
        <v>0</v>
      </c>
      <c r="H508" s="27">
        <f aca="true" t="shared" si="121" ref="H508:J509">H509</f>
        <v>0</v>
      </c>
      <c r="I508" s="27">
        <f t="shared" si="121"/>
        <v>0</v>
      </c>
      <c r="J508" s="27">
        <f t="shared" si="121"/>
        <v>0</v>
      </c>
      <c r="K508" s="26">
        <f t="shared" si="119"/>
        <v>0</v>
      </c>
      <c r="L508" s="27">
        <f aca="true" t="shared" si="122" ref="L508:P509">L509</f>
        <v>0</v>
      </c>
      <c r="M508" s="27">
        <f t="shared" si="122"/>
        <v>0</v>
      </c>
      <c r="N508" s="27">
        <f t="shared" si="122"/>
        <v>0</v>
      </c>
      <c r="O508" s="27">
        <f t="shared" si="122"/>
        <v>0</v>
      </c>
      <c r="P508" s="27">
        <f t="shared" si="122"/>
        <v>0</v>
      </c>
      <c r="Q508" s="26">
        <f t="shared" si="120"/>
        <v>0</v>
      </c>
    </row>
    <row r="509" spans="1:17" s="2" customFormat="1" ht="50.25" customHeight="1" hidden="1">
      <c r="A509" s="85" t="s">
        <v>962</v>
      </c>
      <c r="B509" s="93" t="s">
        <v>53</v>
      </c>
      <c r="C509" s="93" t="s">
        <v>992</v>
      </c>
      <c r="D509" s="93"/>
      <c r="E509" s="94" t="s">
        <v>431</v>
      </c>
      <c r="F509" s="18">
        <f>G509+J509</f>
        <v>0</v>
      </c>
      <c r="G509" s="88">
        <f>G510</f>
        <v>0</v>
      </c>
      <c r="H509" s="88">
        <f t="shared" si="121"/>
        <v>0</v>
      </c>
      <c r="I509" s="88">
        <f t="shared" si="121"/>
        <v>0</v>
      </c>
      <c r="J509" s="88">
        <f t="shared" si="121"/>
        <v>0</v>
      </c>
      <c r="K509" s="18">
        <f>L509+O509</f>
        <v>0</v>
      </c>
      <c r="L509" s="88">
        <f t="shared" si="122"/>
        <v>0</v>
      </c>
      <c r="M509" s="88">
        <f t="shared" si="122"/>
        <v>0</v>
      </c>
      <c r="N509" s="88">
        <f t="shared" si="122"/>
        <v>0</v>
      </c>
      <c r="O509" s="88">
        <f t="shared" si="122"/>
        <v>0</v>
      </c>
      <c r="P509" s="88">
        <f t="shared" si="122"/>
        <v>0</v>
      </c>
      <c r="Q509" s="18">
        <f>F509+K509</f>
        <v>0</v>
      </c>
    </row>
    <row r="510" spans="1:17" s="2" customFormat="1" ht="30" customHeight="1" hidden="1">
      <c r="A510" s="7" t="s">
        <v>961</v>
      </c>
      <c r="B510" s="7" t="s">
        <v>53</v>
      </c>
      <c r="C510" s="7" t="s">
        <v>993</v>
      </c>
      <c r="D510" s="7"/>
      <c r="E510" s="48" t="s">
        <v>175</v>
      </c>
      <c r="F510" s="18">
        <f>G510+J510</f>
        <v>0</v>
      </c>
      <c r="G510" s="18"/>
      <c r="H510" s="18"/>
      <c r="I510" s="18"/>
      <c r="J510" s="18"/>
      <c r="K510" s="18">
        <f>L510+O510</f>
        <v>0</v>
      </c>
      <c r="L510" s="18"/>
      <c r="M510" s="18"/>
      <c r="N510" s="18"/>
      <c r="O510" s="18"/>
      <c r="P510" s="18"/>
      <c r="Q510" s="18">
        <f>F510+K510</f>
        <v>0</v>
      </c>
    </row>
    <row r="511" spans="1:33" s="12" customFormat="1" ht="40.5" customHeight="1">
      <c r="A511" s="155" t="s">
        <v>289</v>
      </c>
      <c r="B511" s="155" t="s">
        <v>146</v>
      </c>
      <c r="C511" s="155" t="s">
        <v>146</v>
      </c>
      <c r="D511" s="155"/>
      <c r="E511" s="13" t="s">
        <v>134</v>
      </c>
      <c r="F511" s="22">
        <f>G511+J511</f>
        <v>15228050</v>
      </c>
      <c r="G511" s="22">
        <f>G512</f>
        <v>15228050</v>
      </c>
      <c r="H511" s="22">
        <f>H512</f>
        <v>5359885</v>
      </c>
      <c r="I511" s="22">
        <f>I512</f>
        <v>291746</v>
      </c>
      <c r="J511" s="22">
        <f>J512</f>
        <v>0</v>
      </c>
      <c r="K511" s="22">
        <f>L511+O511</f>
        <v>4169253</v>
      </c>
      <c r="L511" s="22">
        <f>L512</f>
        <v>94830</v>
      </c>
      <c r="M511" s="22">
        <f>M512</f>
        <v>0</v>
      </c>
      <c r="N511" s="22">
        <f>N512</f>
        <v>0</v>
      </c>
      <c r="O511" s="22">
        <f>O512</f>
        <v>4074423</v>
      </c>
      <c r="P511" s="22">
        <f>P512</f>
        <v>4074423</v>
      </c>
      <c r="Q511" s="22">
        <f>F511+K511</f>
        <v>19397303</v>
      </c>
      <c r="R511" s="192"/>
      <c r="S511" s="14"/>
      <c r="T511" s="14"/>
      <c r="U511" s="14"/>
      <c r="V511" s="14"/>
      <c r="W511" s="14"/>
      <c r="X511" s="14"/>
      <c r="Y511" s="14"/>
      <c r="Z511" s="14"/>
      <c r="AA511" s="14"/>
      <c r="AB511" s="14"/>
      <c r="AC511" s="14"/>
      <c r="AD511" s="14"/>
      <c r="AE511" s="14"/>
      <c r="AF511" s="14"/>
      <c r="AG511" s="14"/>
    </row>
    <row r="512" spans="1:33" s="2" customFormat="1" ht="42" customHeight="1">
      <c r="A512" s="156" t="s">
        <v>290</v>
      </c>
      <c r="B512" s="156"/>
      <c r="C512" s="156"/>
      <c r="D512" s="156"/>
      <c r="E512" s="3" t="s">
        <v>291</v>
      </c>
      <c r="F512" s="19">
        <f>G512+J512</f>
        <v>15228050</v>
      </c>
      <c r="G512" s="19">
        <f>G513+G515+G518+G520+G531</f>
        <v>15228050</v>
      </c>
      <c r="H512" s="19">
        <f>H513+H515+H518+H520+H531</f>
        <v>5359885</v>
      </c>
      <c r="I512" s="19">
        <f>I513+I515+I518+I520+I531</f>
        <v>291746</v>
      </c>
      <c r="J512" s="19">
        <f>J513+J515+J518+J520+J531</f>
        <v>0</v>
      </c>
      <c r="K512" s="18">
        <f>L512+O512</f>
        <v>4169253</v>
      </c>
      <c r="L512" s="19">
        <f>L513+L515+L518+L520+L531</f>
        <v>94830</v>
      </c>
      <c r="M512" s="19">
        <f>M513+M515+M518+M520+M531</f>
        <v>0</v>
      </c>
      <c r="N512" s="19">
        <f>N513+N515+N518+N520+N531</f>
        <v>0</v>
      </c>
      <c r="O512" s="19">
        <f>O513+O515+O518+O520+O531</f>
        <v>4074423</v>
      </c>
      <c r="P512" s="19">
        <f>P513+P515+P518+P520+P531</f>
        <v>4074423</v>
      </c>
      <c r="Q512" s="19">
        <f>F512+K512</f>
        <v>19397303</v>
      </c>
      <c r="R512" s="9"/>
      <c r="S512" s="9"/>
      <c r="T512" s="9"/>
      <c r="U512" s="9"/>
      <c r="V512" s="9"/>
      <c r="W512" s="9"/>
      <c r="X512" s="9"/>
      <c r="Y512" s="9"/>
      <c r="Z512" s="9"/>
      <c r="AA512" s="9"/>
      <c r="AB512" s="9"/>
      <c r="AC512" s="9"/>
      <c r="AD512" s="9"/>
      <c r="AE512" s="9"/>
      <c r="AF512" s="9"/>
      <c r="AG512" s="9"/>
    </row>
    <row r="513" spans="1:33" s="2" customFormat="1" ht="12.75">
      <c r="A513" s="117" t="s">
        <v>719</v>
      </c>
      <c r="B513" s="157" t="s">
        <v>663</v>
      </c>
      <c r="C513" s="157" t="s">
        <v>972</v>
      </c>
      <c r="D513" s="157"/>
      <c r="E513" s="124" t="s">
        <v>673</v>
      </c>
      <c r="F513" s="130">
        <f aca="true" t="shared" si="123" ref="F513:F521">G513+J513</f>
        <v>8040296</v>
      </c>
      <c r="G513" s="130">
        <f>G514</f>
        <v>8040296</v>
      </c>
      <c r="H513" s="130">
        <f>H514</f>
        <v>5359885</v>
      </c>
      <c r="I513" s="130">
        <f>I514</f>
        <v>291746</v>
      </c>
      <c r="J513" s="130">
        <f>J514</f>
        <v>0</v>
      </c>
      <c r="K513" s="18">
        <f aca="true" t="shared" si="124" ref="K513:K521">L513+O513</f>
        <v>618620</v>
      </c>
      <c r="L513" s="130">
        <f>L514</f>
        <v>0</v>
      </c>
      <c r="M513" s="130">
        <f>M514</f>
        <v>0</v>
      </c>
      <c r="N513" s="130">
        <f>N514</f>
        <v>0</v>
      </c>
      <c r="O513" s="130">
        <f>O514</f>
        <v>618620</v>
      </c>
      <c r="P513" s="130">
        <f>P514</f>
        <v>618620</v>
      </c>
      <c r="Q513" s="130">
        <f aca="true" t="shared" si="125" ref="Q513:Q521">F513+K513</f>
        <v>8658916</v>
      </c>
      <c r="R513" s="9"/>
      <c r="S513" s="9"/>
      <c r="T513" s="9"/>
      <c r="U513" s="9"/>
      <c r="V513" s="9"/>
      <c r="W513" s="9"/>
      <c r="X513" s="9"/>
      <c r="Y513" s="9"/>
      <c r="Z513" s="9"/>
      <c r="AA513" s="9"/>
      <c r="AB513" s="9"/>
      <c r="AC513" s="9"/>
      <c r="AD513" s="9"/>
      <c r="AE513" s="9"/>
      <c r="AF513" s="9"/>
      <c r="AG513" s="9"/>
    </row>
    <row r="514" spans="1:33" s="4" customFormat="1" ht="63.75">
      <c r="A514" s="6" t="s">
        <v>22</v>
      </c>
      <c r="B514" s="158" t="s">
        <v>33</v>
      </c>
      <c r="C514" s="6" t="s">
        <v>613</v>
      </c>
      <c r="D514" s="6" t="s">
        <v>574</v>
      </c>
      <c r="E514" s="51" t="s">
        <v>888</v>
      </c>
      <c r="F514" s="19">
        <f t="shared" si="123"/>
        <v>8040296</v>
      </c>
      <c r="G514" s="19">
        <f>6169348+(1196568)-254849+200000-443320+1156760+15789</f>
        <v>8040296</v>
      </c>
      <c r="H514" s="19">
        <f>4339242+56700+963943</f>
        <v>5359885</v>
      </c>
      <c r="I514" s="19">
        <v>291746</v>
      </c>
      <c r="J514" s="19"/>
      <c r="K514" s="18">
        <f t="shared" si="124"/>
        <v>618620</v>
      </c>
      <c r="L514" s="19"/>
      <c r="M514" s="19"/>
      <c r="N514" s="19"/>
      <c r="O514" s="19">
        <f>P514</f>
        <v>618620</v>
      </c>
      <c r="P514" s="19">
        <f>100000+518620</f>
        <v>618620</v>
      </c>
      <c r="Q514" s="19">
        <f t="shared" si="125"/>
        <v>8658916</v>
      </c>
      <c r="R514" s="8"/>
      <c r="S514" s="8"/>
      <c r="T514" s="8"/>
      <c r="U514" s="8"/>
      <c r="V514" s="8"/>
      <c r="W514" s="8"/>
      <c r="X514" s="8"/>
      <c r="Y514" s="8"/>
      <c r="Z514" s="8"/>
      <c r="AA514" s="8"/>
      <c r="AB514" s="8"/>
      <c r="AC514" s="8"/>
      <c r="AD514" s="8"/>
      <c r="AE514" s="8"/>
      <c r="AF514" s="8"/>
      <c r="AG514" s="8"/>
    </row>
    <row r="515" spans="1:33" s="4" customFormat="1" ht="12.75">
      <c r="A515" s="116" t="s">
        <v>720</v>
      </c>
      <c r="B515" s="117" t="s">
        <v>663</v>
      </c>
      <c r="C515" s="117" t="s">
        <v>1094</v>
      </c>
      <c r="D515" s="117"/>
      <c r="E515" s="118" t="s">
        <v>665</v>
      </c>
      <c r="F515" s="130">
        <f t="shared" si="123"/>
        <v>7024197</v>
      </c>
      <c r="G515" s="130">
        <f>G516+G517</f>
        <v>7024197</v>
      </c>
      <c r="H515" s="130">
        <f>H516+H517</f>
        <v>0</v>
      </c>
      <c r="I515" s="130">
        <f>I516+I517</f>
        <v>0</v>
      </c>
      <c r="J515" s="130">
        <f>J516+J517</f>
        <v>0</v>
      </c>
      <c r="K515" s="18">
        <f t="shared" si="124"/>
        <v>879667</v>
      </c>
      <c r="L515" s="130">
        <f>L516+L517</f>
        <v>94830</v>
      </c>
      <c r="M515" s="130">
        <f>M516+M517</f>
        <v>0</v>
      </c>
      <c r="N515" s="130">
        <f>N516+N517</f>
        <v>0</v>
      </c>
      <c r="O515" s="130">
        <f>O516+O517</f>
        <v>784837</v>
      </c>
      <c r="P515" s="130">
        <f>P516+P517</f>
        <v>784837</v>
      </c>
      <c r="Q515" s="130">
        <f t="shared" si="125"/>
        <v>7903864</v>
      </c>
      <c r="R515" s="8"/>
      <c r="S515" s="8"/>
      <c r="T515" s="8"/>
      <c r="U515" s="8"/>
      <c r="V515" s="8"/>
      <c r="W515" s="8"/>
      <c r="X515" s="8"/>
      <c r="Y515" s="8"/>
      <c r="Z515" s="8"/>
      <c r="AA515" s="8"/>
      <c r="AB515" s="8"/>
      <c r="AC515" s="8"/>
      <c r="AD515" s="8"/>
      <c r="AE515" s="8"/>
      <c r="AF515" s="8"/>
      <c r="AG515" s="8"/>
    </row>
    <row r="516" spans="1:17" s="2" customFormat="1" ht="50.25" customHeight="1">
      <c r="A516" s="112" t="s">
        <v>770</v>
      </c>
      <c r="B516" s="112" t="s">
        <v>321</v>
      </c>
      <c r="C516" s="112" t="s">
        <v>1095</v>
      </c>
      <c r="D516" s="112" t="s">
        <v>606</v>
      </c>
      <c r="E516" s="113" t="s">
        <v>328</v>
      </c>
      <c r="F516" s="121">
        <f t="shared" si="123"/>
        <v>5583821</v>
      </c>
      <c r="G516" s="121">
        <f>2749802+(200000)+(40000)-49998+(52000)+(31538)+10479+(50000)+2500000</f>
        <v>5583821</v>
      </c>
      <c r="H516" s="121"/>
      <c r="I516" s="121"/>
      <c r="J516" s="121"/>
      <c r="K516" s="18">
        <f t="shared" si="124"/>
        <v>0</v>
      </c>
      <c r="L516" s="121"/>
      <c r="M516" s="121"/>
      <c r="N516" s="121"/>
      <c r="O516" s="121"/>
      <c r="P516" s="121"/>
      <c r="Q516" s="121">
        <f t="shared" si="125"/>
        <v>5583821</v>
      </c>
    </row>
    <row r="517" spans="1:17" s="2" customFormat="1" ht="12.75">
      <c r="A517" s="7" t="s">
        <v>403</v>
      </c>
      <c r="B517" s="7" t="s">
        <v>123</v>
      </c>
      <c r="C517" s="7" t="s">
        <v>1106</v>
      </c>
      <c r="D517" s="7" t="s">
        <v>607</v>
      </c>
      <c r="E517" s="3" t="s">
        <v>125</v>
      </c>
      <c r="F517" s="18">
        <f t="shared" si="123"/>
        <v>1440376</v>
      </c>
      <c r="G517" s="18">
        <f>1330706+49998-10479-300000+370151</f>
        <v>1440376</v>
      </c>
      <c r="H517" s="18"/>
      <c r="I517" s="18"/>
      <c r="J517" s="18"/>
      <c r="K517" s="18">
        <f t="shared" si="124"/>
        <v>879667</v>
      </c>
      <c r="L517" s="18">
        <v>94830</v>
      </c>
      <c r="M517" s="18"/>
      <c r="N517" s="18"/>
      <c r="O517" s="18">
        <f>P517</f>
        <v>784837</v>
      </c>
      <c r="P517" s="18">
        <f>100000+300000+100000+(200000)+29837+(55000)</f>
        <v>784837</v>
      </c>
      <c r="Q517" s="19">
        <f t="shared" si="125"/>
        <v>2320043</v>
      </c>
    </row>
    <row r="518" spans="1:17" s="2" customFormat="1" ht="12.75">
      <c r="A518" s="112" t="s">
        <v>725</v>
      </c>
      <c r="B518" s="111" t="s">
        <v>628</v>
      </c>
      <c r="C518" s="111" t="s">
        <v>1020</v>
      </c>
      <c r="D518" s="111"/>
      <c r="E518" s="127" t="s">
        <v>630</v>
      </c>
      <c r="F518" s="123">
        <f t="shared" si="123"/>
        <v>0</v>
      </c>
      <c r="G518" s="123">
        <f>G519</f>
        <v>0</v>
      </c>
      <c r="H518" s="123">
        <f>H519</f>
        <v>0</v>
      </c>
      <c r="I518" s="123">
        <f>I519</f>
        <v>0</v>
      </c>
      <c r="J518" s="123">
        <f>J519</f>
        <v>0</v>
      </c>
      <c r="K518" s="18">
        <f t="shared" si="124"/>
        <v>2670966</v>
      </c>
      <c r="L518" s="123">
        <f>L519</f>
        <v>0</v>
      </c>
      <c r="M518" s="123">
        <f>M519</f>
        <v>0</v>
      </c>
      <c r="N518" s="123">
        <f>N519</f>
        <v>0</v>
      </c>
      <c r="O518" s="123">
        <f>O519</f>
        <v>2670966</v>
      </c>
      <c r="P518" s="123">
        <f>P519</f>
        <v>2670966</v>
      </c>
      <c r="Q518" s="123">
        <f t="shared" si="125"/>
        <v>2670966</v>
      </c>
    </row>
    <row r="519" spans="1:17" s="2" customFormat="1" ht="25.5">
      <c r="A519" s="78" t="s">
        <v>324</v>
      </c>
      <c r="B519" s="75" t="s">
        <v>87</v>
      </c>
      <c r="C519" s="59" t="s">
        <v>980</v>
      </c>
      <c r="D519" s="59" t="s">
        <v>576</v>
      </c>
      <c r="E519" s="86" t="s">
        <v>174</v>
      </c>
      <c r="F519" s="18">
        <f t="shared" si="123"/>
        <v>0</v>
      </c>
      <c r="G519" s="18"/>
      <c r="H519" s="18"/>
      <c r="I519" s="18"/>
      <c r="J519" s="18"/>
      <c r="K519" s="18">
        <f t="shared" si="124"/>
        <v>2670966</v>
      </c>
      <c r="L519" s="18"/>
      <c r="M519" s="18"/>
      <c r="N519" s="18"/>
      <c r="O519" s="18">
        <f>P519</f>
        <v>2670966</v>
      </c>
      <c r="P519" s="18">
        <f>6000000+577500+593466-2000000-2500000</f>
        <v>2670966</v>
      </c>
      <c r="Q519" s="19">
        <f t="shared" si="125"/>
        <v>2670966</v>
      </c>
    </row>
    <row r="520" spans="1:17" s="2" customFormat="1" ht="25.5">
      <c r="A520" s="116" t="s">
        <v>724</v>
      </c>
      <c r="B520" s="116" t="s">
        <v>634</v>
      </c>
      <c r="C520" s="116" t="s">
        <v>1021</v>
      </c>
      <c r="D520" s="116"/>
      <c r="E520" s="125" t="s">
        <v>635</v>
      </c>
      <c r="F520" s="121">
        <f t="shared" si="123"/>
        <v>163557</v>
      </c>
      <c r="G520" s="121">
        <f>G521</f>
        <v>163557</v>
      </c>
      <c r="H520" s="121">
        <f>H521</f>
        <v>0</v>
      </c>
      <c r="I520" s="121">
        <f>I521</f>
        <v>0</v>
      </c>
      <c r="J520" s="121">
        <f>J521</f>
        <v>0</v>
      </c>
      <c r="K520" s="18">
        <f t="shared" si="124"/>
        <v>0</v>
      </c>
      <c r="L520" s="121">
        <f>L521</f>
        <v>0</v>
      </c>
      <c r="M520" s="121">
        <f>M521</f>
        <v>0</v>
      </c>
      <c r="N520" s="121">
        <f>N521</f>
        <v>0</v>
      </c>
      <c r="O520" s="121">
        <f>O521</f>
        <v>0</v>
      </c>
      <c r="P520" s="121">
        <f>P521</f>
        <v>0</v>
      </c>
      <c r="Q520" s="121">
        <f t="shared" si="125"/>
        <v>163557</v>
      </c>
    </row>
    <row r="521" spans="1:17" s="2" customFormat="1" ht="12.75">
      <c r="A521" s="89" t="s">
        <v>425</v>
      </c>
      <c r="B521" s="89" t="s">
        <v>54</v>
      </c>
      <c r="C521" s="89" t="s">
        <v>1093</v>
      </c>
      <c r="D521" s="89" t="s">
        <v>577</v>
      </c>
      <c r="E521" s="99" t="s">
        <v>416</v>
      </c>
      <c r="F521" s="92">
        <f t="shared" si="123"/>
        <v>163557</v>
      </c>
      <c r="G521" s="92">
        <f>SUM(G522:G530)</f>
        <v>163557</v>
      </c>
      <c r="H521" s="92">
        <f>SUM(H522:H530)</f>
        <v>0</v>
      </c>
      <c r="I521" s="92">
        <f>SUM(I522:I530)</f>
        <v>0</v>
      </c>
      <c r="J521" s="92">
        <f>SUM(J522:J530)</f>
        <v>0</v>
      </c>
      <c r="K521" s="18">
        <f t="shared" si="124"/>
        <v>0</v>
      </c>
      <c r="L521" s="92">
        <f>SUM(L522:L530)</f>
        <v>0</v>
      </c>
      <c r="M521" s="92">
        <f>SUM(M522:M530)</f>
        <v>0</v>
      </c>
      <c r="N521" s="92">
        <f>SUM(N522:N530)</f>
        <v>0</v>
      </c>
      <c r="O521" s="92">
        <f>SUM(O522:O530)</f>
        <v>0</v>
      </c>
      <c r="P521" s="92">
        <f>SUM(P522:P530)</f>
        <v>0</v>
      </c>
      <c r="Q521" s="95">
        <f t="shared" si="125"/>
        <v>163557</v>
      </c>
    </row>
    <row r="522" spans="1:17" ht="56.25" customHeight="1" hidden="1">
      <c r="A522" s="59" t="s">
        <v>932</v>
      </c>
      <c r="B522" s="50" t="s">
        <v>54</v>
      </c>
      <c r="C522" s="50" t="s">
        <v>984</v>
      </c>
      <c r="D522" s="50" t="s">
        <v>577</v>
      </c>
      <c r="E522" s="48" t="s">
        <v>178</v>
      </c>
      <c r="F522" s="26">
        <f>G522+J522</f>
        <v>0</v>
      </c>
      <c r="G522" s="27"/>
      <c r="H522" s="27"/>
      <c r="I522" s="27"/>
      <c r="J522" s="27"/>
      <c r="K522" s="26">
        <f>L522+O522</f>
        <v>0</v>
      </c>
      <c r="L522" s="27"/>
      <c r="M522" s="27"/>
      <c r="N522" s="27"/>
      <c r="O522" s="27"/>
      <c r="P522" s="27"/>
      <c r="Q522" s="26">
        <f>F522+K522</f>
        <v>0</v>
      </c>
    </row>
    <row r="523" spans="1:17" s="181" customFormat="1" ht="41.25" customHeight="1" hidden="1">
      <c r="A523" s="170" t="s">
        <v>368</v>
      </c>
      <c r="B523" s="171" t="s">
        <v>54</v>
      </c>
      <c r="C523" s="170" t="s">
        <v>985</v>
      </c>
      <c r="D523" s="170" t="s">
        <v>577</v>
      </c>
      <c r="E523" s="178" t="s">
        <v>853</v>
      </c>
      <c r="F523" s="173">
        <f aca="true" t="shared" si="126" ref="F523:F530">G523+J523</f>
        <v>38400</v>
      </c>
      <c r="G523" s="180">
        <v>38400</v>
      </c>
      <c r="H523" s="180"/>
      <c r="I523" s="180"/>
      <c r="J523" s="180"/>
      <c r="K523" s="173">
        <f aca="true" t="shared" si="127" ref="K523:K531">L523+O523</f>
        <v>0</v>
      </c>
      <c r="L523" s="173"/>
      <c r="M523" s="173"/>
      <c r="N523" s="173"/>
      <c r="O523" s="173"/>
      <c r="P523" s="173"/>
      <c r="Q523" s="173">
        <f aca="true" t="shared" si="128" ref="Q523:Q531">F523+K523</f>
        <v>38400</v>
      </c>
    </row>
    <row r="524" spans="1:17" s="169" customFormat="1" ht="51" customHeight="1" hidden="1">
      <c r="A524" s="170" t="s">
        <v>397</v>
      </c>
      <c r="B524" s="170" t="s">
        <v>54</v>
      </c>
      <c r="C524" s="170" t="s">
        <v>986</v>
      </c>
      <c r="D524" s="170" t="s">
        <v>577</v>
      </c>
      <c r="E524" s="178" t="s">
        <v>333</v>
      </c>
      <c r="F524" s="173">
        <f t="shared" si="126"/>
        <v>56738</v>
      </c>
      <c r="G524" s="173">
        <v>56738</v>
      </c>
      <c r="H524" s="173"/>
      <c r="I524" s="173"/>
      <c r="J524" s="173"/>
      <c r="K524" s="173">
        <f t="shared" si="127"/>
        <v>0</v>
      </c>
      <c r="L524" s="173"/>
      <c r="M524" s="173"/>
      <c r="N524" s="173"/>
      <c r="O524" s="173"/>
      <c r="P524" s="173"/>
      <c r="Q524" s="173">
        <f t="shared" si="128"/>
        <v>56738</v>
      </c>
    </row>
    <row r="525" spans="1:17" s="169" customFormat="1" ht="50.25" customHeight="1" hidden="1">
      <c r="A525" s="170" t="s">
        <v>933</v>
      </c>
      <c r="B525" s="170" t="s">
        <v>54</v>
      </c>
      <c r="C525" s="170" t="s">
        <v>987</v>
      </c>
      <c r="D525" s="170" t="s">
        <v>577</v>
      </c>
      <c r="E525" s="178" t="s">
        <v>479</v>
      </c>
      <c r="F525" s="173">
        <f t="shared" si="126"/>
        <v>0</v>
      </c>
      <c r="G525" s="173"/>
      <c r="H525" s="173"/>
      <c r="I525" s="173"/>
      <c r="J525" s="173"/>
      <c r="K525" s="173">
        <f t="shared" si="127"/>
        <v>0</v>
      </c>
      <c r="L525" s="173"/>
      <c r="M525" s="173"/>
      <c r="N525" s="173"/>
      <c r="O525" s="173"/>
      <c r="P525" s="173"/>
      <c r="Q525" s="173">
        <f t="shared" si="128"/>
        <v>0</v>
      </c>
    </row>
    <row r="526" spans="1:17" s="169" customFormat="1" ht="53.25" customHeight="1" hidden="1">
      <c r="A526" s="170" t="s">
        <v>472</v>
      </c>
      <c r="B526" s="170" t="s">
        <v>54</v>
      </c>
      <c r="C526" s="170" t="s">
        <v>988</v>
      </c>
      <c r="D526" s="170" t="s">
        <v>577</v>
      </c>
      <c r="E526" s="178" t="s">
        <v>362</v>
      </c>
      <c r="F526" s="173">
        <f t="shared" si="126"/>
        <v>0</v>
      </c>
      <c r="G526" s="173"/>
      <c r="H526" s="173"/>
      <c r="I526" s="173"/>
      <c r="J526" s="173"/>
      <c r="K526" s="173">
        <f t="shared" si="127"/>
        <v>0</v>
      </c>
      <c r="L526" s="173"/>
      <c r="M526" s="173"/>
      <c r="N526" s="173"/>
      <c r="O526" s="173"/>
      <c r="P526" s="173"/>
      <c r="Q526" s="173">
        <f t="shared" si="128"/>
        <v>0</v>
      </c>
    </row>
    <row r="527" spans="1:17" s="169" customFormat="1" ht="51" hidden="1">
      <c r="A527" s="170" t="s">
        <v>464</v>
      </c>
      <c r="B527" s="170" t="s">
        <v>54</v>
      </c>
      <c r="C527" s="170" t="s">
        <v>989</v>
      </c>
      <c r="D527" s="170" t="s">
        <v>577</v>
      </c>
      <c r="E527" s="178" t="s">
        <v>320</v>
      </c>
      <c r="F527" s="173">
        <f t="shared" si="126"/>
        <v>49999</v>
      </c>
      <c r="G527" s="173">
        <v>49999</v>
      </c>
      <c r="H527" s="173"/>
      <c r="I527" s="173"/>
      <c r="J527" s="173"/>
      <c r="K527" s="173">
        <f t="shared" si="127"/>
        <v>0</v>
      </c>
      <c r="L527" s="173"/>
      <c r="M527" s="173"/>
      <c r="N527" s="173"/>
      <c r="O527" s="173"/>
      <c r="P527" s="173"/>
      <c r="Q527" s="173">
        <f t="shared" si="128"/>
        <v>49999</v>
      </c>
    </row>
    <row r="528" spans="1:17" s="169" customFormat="1" ht="102" customHeight="1" hidden="1">
      <c r="A528" s="170" t="s">
        <v>934</v>
      </c>
      <c r="B528" s="170" t="s">
        <v>54</v>
      </c>
      <c r="C528" s="170" t="s">
        <v>990</v>
      </c>
      <c r="D528" s="170" t="s">
        <v>577</v>
      </c>
      <c r="E528" s="178" t="s">
        <v>366</v>
      </c>
      <c r="F528" s="173">
        <f t="shared" si="126"/>
        <v>0</v>
      </c>
      <c r="G528" s="176"/>
      <c r="H528" s="176"/>
      <c r="I528" s="176"/>
      <c r="J528" s="176"/>
      <c r="K528" s="173">
        <f t="shared" si="127"/>
        <v>0</v>
      </c>
      <c r="L528" s="176"/>
      <c r="M528" s="176"/>
      <c r="N528" s="176"/>
      <c r="O528" s="176"/>
      <c r="P528" s="176"/>
      <c r="Q528" s="173">
        <f t="shared" si="128"/>
        <v>0</v>
      </c>
    </row>
    <row r="529" spans="1:17" s="169" customFormat="1" ht="25.5" hidden="1">
      <c r="A529" s="170" t="s">
        <v>444</v>
      </c>
      <c r="B529" s="170" t="s">
        <v>54</v>
      </c>
      <c r="C529" s="170" t="s">
        <v>991</v>
      </c>
      <c r="D529" s="170" t="s">
        <v>577</v>
      </c>
      <c r="E529" s="178" t="s">
        <v>886</v>
      </c>
      <c r="F529" s="173">
        <f t="shared" si="126"/>
        <v>18420</v>
      </c>
      <c r="G529" s="176">
        <v>18420</v>
      </c>
      <c r="H529" s="176"/>
      <c r="I529" s="176"/>
      <c r="J529" s="176"/>
      <c r="K529" s="173">
        <f t="shared" si="127"/>
        <v>0</v>
      </c>
      <c r="L529" s="176"/>
      <c r="M529" s="176"/>
      <c r="N529" s="176"/>
      <c r="O529" s="176"/>
      <c r="P529" s="176"/>
      <c r="Q529" s="173">
        <f t="shared" si="128"/>
        <v>18420</v>
      </c>
    </row>
    <row r="530" spans="1:17" s="43" customFormat="1" ht="15" customHeight="1" hidden="1">
      <c r="A530" s="59" t="s">
        <v>935</v>
      </c>
      <c r="B530" s="31" t="s">
        <v>54</v>
      </c>
      <c r="C530" s="59" t="s">
        <v>1131</v>
      </c>
      <c r="D530" s="59" t="s">
        <v>577</v>
      </c>
      <c r="E530" s="48" t="s">
        <v>834</v>
      </c>
      <c r="F530" s="26">
        <f t="shared" si="126"/>
        <v>0</v>
      </c>
      <c r="G530" s="26"/>
      <c r="H530" s="26"/>
      <c r="I530" s="26"/>
      <c r="J530" s="26"/>
      <c r="K530" s="26">
        <f t="shared" si="127"/>
        <v>0</v>
      </c>
      <c r="L530" s="26"/>
      <c r="M530" s="26"/>
      <c r="N530" s="26"/>
      <c r="O530" s="26"/>
      <c r="P530" s="26"/>
      <c r="Q530" s="26">
        <f t="shared" si="128"/>
        <v>0</v>
      </c>
    </row>
    <row r="531" spans="1:17" s="2" customFormat="1" ht="12.75" hidden="1">
      <c r="A531" s="112" t="s">
        <v>721</v>
      </c>
      <c r="B531" s="112" t="s">
        <v>98</v>
      </c>
      <c r="C531" s="112" t="s">
        <v>1015</v>
      </c>
      <c r="D531" s="112"/>
      <c r="E531" s="115" t="s">
        <v>99</v>
      </c>
      <c r="F531" s="123">
        <f>G531+J531</f>
        <v>0</v>
      </c>
      <c r="G531" s="123">
        <f>G532</f>
        <v>0</v>
      </c>
      <c r="H531" s="123">
        <f aca="true" t="shared" si="129" ref="H531:J532">H532</f>
        <v>0</v>
      </c>
      <c r="I531" s="123">
        <f t="shared" si="129"/>
        <v>0</v>
      </c>
      <c r="J531" s="123">
        <f t="shared" si="129"/>
        <v>0</v>
      </c>
      <c r="K531" s="26">
        <f t="shared" si="127"/>
        <v>0</v>
      </c>
      <c r="L531" s="123">
        <f aca="true" t="shared" si="130" ref="L531:P532">L532</f>
        <v>0</v>
      </c>
      <c r="M531" s="123">
        <f t="shared" si="130"/>
        <v>0</v>
      </c>
      <c r="N531" s="123">
        <f t="shared" si="130"/>
        <v>0</v>
      </c>
      <c r="O531" s="123">
        <f t="shared" si="130"/>
        <v>0</v>
      </c>
      <c r="P531" s="123">
        <f t="shared" si="130"/>
        <v>0</v>
      </c>
      <c r="Q531" s="123">
        <f t="shared" si="128"/>
        <v>0</v>
      </c>
    </row>
    <row r="532" spans="1:17" s="2" customFormat="1" ht="50.25" customHeight="1" hidden="1">
      <c r="A532" s="85" t="s">
        <v>722</v>
      </c>
      <c r="B532" s="93" t="s">
        <v>53</v>
      </c>
      <c r="C532" s="93" t="s">
        <v>992</v>
      </c>
      <c r="D532" s="93"/>
      <c r="E532" s="94" t="s">
        <v>431</v>
      </c>
      <c r="F532" s="97">
        <f>G532+J532</f>
        <v>0</v>
      </c>
      <c r="G532" s="97">
        <f>G533</f>
        <v>0</v>
      </c>
      <c r="H532" s="97">
        <f t="shared" si="129"/>
        <v>0</v>
      </c>
      <c r="I532" s="97">
        <f t="shared" si="129"/>
        <v>0</v>
      </c>
      <c r="J532" s="97">
        <f t="shared" si="129"/>
        <v>0</v>
      </c>
      <c r="K532" s="18">
        <f>L532+O532</f>
        <v>0</v>
      </c>
      <c r="L532" s="97">
        <f t="shared" si="130"/>
        <v>0</v>
      </c>
      <c r="M532" s="97">
        <f t="shared" si="130"/>
        <v>0</v>
      </c>
      <c r="N532" s="97">
        <f t="shared" si="130"/>
        <v>0</v>
      </c>
      <c r="O532" s="97">
        <f t="shared" si="130"/>
        <v>0</v>
      </c>
      <c r="P532" s="97">
        <f t="shared" si="130"/>
        <v>0</v>
      </c>
      <c r="Q532" s="98">
        <f>F532+K532</f>
        <v>0</v>
      </c>
    </row>
    <row r="533" spans="1:17" s="2" customFormat="1" ht="25.5" hidden="1">
      <c r="A533" s="7" t="s">
        <v>723</v>
      </c>
      <c r="B533" s="7" t="s">
        <v>53</v>
      </c>
      <c r="C533" s="7" t="s">
        <v>993</v>
      </c>
      <c r="D533" s="7" t="s">
        <v>577</v>
      </c>
      <c r="E533" s="48" t="s">
        <v>175</v>
      </c>
      <c r="F533" s="18">
        <f>G533+J533</f>
        <v>0</v>
      </c>
      <c r="G533" s="18"/>
      <c r="H533" s="18"/>
      <c r="I533" s="18"/>
      <c r="J533" s="18"/>
      <c r="K533" s="18">
        <f>L533+O533</f>
        <v>0</v>
      </c>
      <c r="L533" s="18"/>
      <c r="M533" s="18"/>
      <c r="N533" s="18"/>
      <c r="O533" s="18"/>
      <c r="P533" s="18"/>
      <c r="Q533" s="19">
        <f>F533+K533</f>
        <v>0</v>
      </c>
    </row>
    <row r="534" spans="1:18" s="41" customFormat="1" ht="38.25">
      <c r="A534" s="62" t="s">
        <v>292</v>
      </c>
      <c r="B534" s="62" t="s">
        <v>147</v>
      </c>
      <c r="C534" s="62" t="s">
        <v>147</v>
      </c>
      <c r="D534" s="62"/>
      <c r="E534" s="13" t="s">
        <v>789</v>
      </c>
      <c r="F534" s="40">
        <f>G534+J534</f>
        <v>14857718</v>
      </c>
      <c r="G534" s="40">
        <f>G535</f>
        <v>14857718</v>
      </c>
      <c r="H534" s="40">
        <f>H535</f>
        <v>5202035</v>
      </c>
      <c r="I534" s="40">
        <f>I535</f>
        <v>478095</v>
      </c>
      <c r="J534" s="40">
        <f>J535</f>
        <v>0</v>
      </c>
      <c r="K534" s="40">
        <f>L534+O534</f>
        <v>17607769</v>
      </c>
      <c r="L534" s="40">
        <f>L535</f>
        <v>35149</v>
      </c>
      <c r="M534" s="40">
        <f>M535</f>
        <v>0</v>
      </c>
      <c r="N534" s="40">
        <f>N535</f>
        <v>0</v>
      </c>
      <c r="O534" s="40">
        <f>O535</f>
        <v>17572620</v>
      </c>
      <c r="P534" s="40">
        <f>P535</f>
        <v>13601668</v>
      </c>
      <c r="Q534" s="40">
        <f>F534+K534</f>
        <v>32465487</v>
      </c>
      <c r="R534" s="165"/>
    </row>
    <row r="535" spans="1:17" s="43" customFormat="1" ht="38.25">
      <c r="A535" s="59" t="s">
        <v>293</v>
      </c>
      <c r="B535" s="31"/>
      <c r="C535" s="31"/>
      <c r="D535" s="31"/>
      <c r="E535" s="49" t="s">
        <v>789</v>
      </c>
      <c r="F535" s="32">
        <f>G535+J535</f>
        <v>14857718</v>
      </c>
      <c r="G535" s="32">
        <f>G536+G538+G541+G543+G554</f>
        <v>14857718</v>
      </c>
      <c r="H535" s="32">
        <f>H536+H538+H541+H543+H554</f>
        <v>5202035</v>
      </c>
      <c r="I535" s="32">
        <f>I536+I538+I541+I543+I554</f>
        <v>478095</v>
      </c>
      <c r="J535" s="32">
        <f>J536+J538+J541+J543+J554</f>
        <v>0</v>
      </c>
      <c r="K535" s="32">
        <f>L535+O535</f>
        <v>17607769</v>
      </c>
      <c r="L535" s="32">
        <f>L536+L538+L541+L543+L554</f>
        <v>35149</v>
      </c>
      <c r="M535" s="32">
        <f>M536+M538+M541+M543+M554</f>
        <v>0</v>
      </c>
      <c r="N535" s="32">
        <f>N536+N538+N541+N543+N554</f>
        <v>0</v>
      </c>
      <c r="O535" s="32">
        <f>O536+O538+O541+O543+O554</f>
        <v>17572620</v>
      </c>
      <c r="P535" s="32">
        <f>P536+P538+P541+P543+P554</f>
        <v>13601668</v>
      </c>
      <c r="Q535" s="32">
        <f>F535+K535</f>
        <v>32465487</v>
      </c>
    </row>
    <row r="536" spans="1:17" s="43" customFormat="1" ht="12.75">
      <c r="A536" s="111" t="s">
        <v>726</v>
      </c>
      <c r="B536" s="111" t="s">
        <v>671</v>
      </c>
      <c r="C536" s="111" t="s">
        <v>972</v>
      </c>
      <c r="D536" s="111"/>
      <c r="E536" s="127" t="s">
        <v>673</v>
      </c>
      <c r="F536" s="32">
        <f aca="true" t="shared" si="131" ref="F536:F553">G536+J536</f>
        <v>8386443</v>
      </c>
      <c r="G536" s="131">
        <f>G537</f>
        <v>8386443</v>
      </c>
      <c r="H536" s="131">
        <f>H537</f>
        <v>5202035</v>
      </c>
      <c r="I536" s="131">
        <f>I537</f>
        <v>478095</v>
      </c>
      <c r="J536" s="131">
        <f>J537</f>
        <v>0</v>
      </c>
      <c r="K536" s="32">
        <f aca="true" t="shared" si="132" ref="K536:K553">L536+O536</f>
        <v>634181</v>
      </c>
      <c r="L536" s="131">
        <f>L537</f>
        <v>35149</v>
      </c>
      <c r="M536" s="131">
        <f>M537</f>
        <v>0</v>
      </c>
      <c r="N536" s="131">
        <f>N537</f>
        <v>0</v>
      </c>
      <c r="O536" s="131">
        <f>O537</f>
        <v>599032</v>
      </c>
      <c r="P536" s="131">
        <f>P537</f>
        <v>599032</v>
      </c>
      <c r="Q536" s="32">
        <f aca="true" t="shared" si="133" ref="Q536:Q553">F536+K536</f>
        <v>9020624</v>
      </c>
    </row>
    <row r="537" spans="1:17" s="43" customFormat="1" ht="63.75">
      <c r="A537" s="59" t="s">
        <v>23</v>
      </c>
      <c r="B537" s="47" t="s">
        <v>33</v>
      </c>
      <c r="C537" s="59" t="s">
        <v>613</v>
      </c>
      <c r="D537" s="59" t="s">
        <v>574</v>
      </c>
      <c r="E537" s="51" t="s">
        <v>888</v>
      </c>
      <c r="F537" s="32">
        <f t="shared" si="131"/>
        <v>8386443</v>
      </c>
      <c r="G537" s="32">
        <f>6206893+(1437489)-277127+28291-506433+37303+1300291+16012+143724</f>
        <v>8386443</v>
      </c>
      <c r="H537" s="32">
        <f>4106371+4240+1078203+13221</f>
        <v>5202035</v>
      </c>
      <c r="I537" s="32">
        <v>478095</v>
      </c>
      <c r="J537" s="32"/>
      <c r="K537" s="32">
        <f t="shared" si="132"/>
        <v>634181</v>
      </c>
      <c r="L537" s="32">
        <f>33578+1571</f>
        <v>35149</v>
      </c>
      <c r="M537" s="32"/>
      <c r="N537" s="32"/>
      <c r="O537" s="32">
        <f>P537</f>
        <v>599032</v>
      </c>
      <c r="P537" s="32">
        <f>65008+514133+50140-30249</f>
        <v>599032</v>
      </c>
      <c r="Q537" s="32">
        <f t="shared" si="133"/>
        <v>9020624</v>
      </c>
    </row>
    <row r="538" spans="1:17" s="43" customFormat="1" ht="12.75">
      <c r="A538" s="116" t="s">
        <v>727</v>
      </c>
      <c r="B538" s="116" t="s">
        <v>663</v>
      </c>
      <c r="C538" s="116" t="s">
        <v>1094</v>
      </c>
      <c r="D538" s="116"/>
      <c r="E538" s="118" t="s">
        <v>665</v>
      </c>
      <c r="F538" s="32">
        <f t="shared" si="131"/>
        <v>6109787</v>
      </c>
      <c r="G538" s="132">
        <f>G539+G540</f>
        <v>6109787</v>
      </c>
      <c r="H538" s="132">
        <f>H539+H540</f>
        <v>0</v>
      </c>
      <c r="I538" s="132">
        <f>I539+I540</f>
        <v>0</v>
      </c>
      <c r="J538" s="132">
        <f>J539+J540</f>
        <v>0</v>
      </c>
      <c r="K538" s="32">
        <f t="shared" si="132"/>
        <v>1689718</v>
      </c>
      <c r="L538" s="132">
        <f>L539+L540</f>
        <v>0</v>
      </c>
      <c r="M538" s="132">
        <f>M539+M540</f>
        <v>0</v>
      </c>
      <c r="N538" s="132">
        <f>N539+N540</f>
        <v>0</v>
      </c>
      <c r="O538" s="132">
        <f>O539+O540</f>
        <v>1689718</v>
      </c>
      <c r="P538" s="132">
        <f>P539+P540</f>
        <v>1468766</v>
      </c>
      <c r="Q538" s="32">
        <f t="shared" si="133"/>
        <v>7799505</v>
      </c>
    </row>
    <row r="539" spans="1:17" s="2" customFormat="1" ht="51">
      <c r="A539" s="112" t="s">
        <v>771</v>
      </c>
      <c r="B539" s="112" t="s">
        <v>321</v>
      </c>
      <c r="C539" s="112" t="s">
        <v>1095</v>
      </c>
      <c r="D539" s="112" t="s">
        <v>606</v>
      </c>
      <c r="E539" s="113" t="s">
        <v>328</v>
      </c>
      <c r="F539" s="32">
        <f t="shared" si="131"/>
        <v>3990996</v>
      </c>
      <c r="G539" s="121">
        <f>2016970-25974+2000000+(53292)-(53292)</f>
        <v>3990996</v>
      </c>
      <c r="H539" s="121"/>
      <c r="I539" s="121"/>
      <c r="J539" s="121"/>
      <c r="K539" s="32">
        <f t="shared" si="132"/>
        <v>0</v>
      </c>
      <c r="L539" s="121"/>
      <c r="M539" s="121"/>
      <c r="N539" s="121"/>
      <c r="O539" s="121"/>
      <c r="P539" s="121"/>
      <c r="Q539" s="32">
        <f t="shared" si="133"/>
        <v>3990996</v>
      </c>
    </row>
    <row r="540" spans="1:17" s="2" customFormat="1" ht="12.75">
      <c r="A540" s="7" t="s">
        <v>404</v>
      </c>
      <c r="B540" s="7" t="s">
        <v>123</v>
      </c>
      <c r="C540" s="7" t="s">
        <v>1106</v>
      </c>
      <c r="D540" s="7" t="s">
        <v>607</v>
      </c>
      <c r="E540" s="3" t="s">
        <v>125</v>
      </c>
      <c r="F540" s="32">
        <f t="shared" si="131"/>
        <v>2118791</v>
      </c>
      <c r="G540" s="18">
        <f>1558746+71040+20000-2317+19150+387192+64980</f>
        <v>2118791</v>
      </c>
      <c r="H540" s="18"/>
      <c r="I540" s="18"/>
      <c r="J540" s="18"/>
      <c r="K540" s="32">
        <f t="shared" si="132"/>
        <v>1689718</v>
      </c>
      <c r="L540" s="18"/>
      <c r="M540" s="18"/>
      <c r="N540" s="18"/>
      <c r="O540" s="18">
        <f>P540+220952</f>
        <v>1689718</v>
      </c>
      <c r="P540" s="18">
        <f>530490+88463+461723+97936+226074+(64080)</f>
        <v>1468766</v>
      </c>
      <c r="Q540" s="32">
        <f t="shared" si="133"/>
        <v>3808509</v>
      </c>
    </row>
    <row r="541" spans="1:17" s="2" customFormat="1" ht="12.75">
      <c r="A541" s="112" t="s">
        <v>728</v>
      </c>
      <c r="B541" s="111" t="s">
        <v>628</v>
      </c>
      <c r="C541" s="111" t="s">
        <v>1020</v>
      </c>
      <c r="D541" s="111"/>
      <c r="E541" s="127" t="s">
        <v>630</v>
      </c>
      <c r="F541" s="32">
        <f t="shared" si="131"/>
        <v>0</v>
      </c>
      <c r="G541" s="123">
        <f>G542</f>
        <v>0</v>
      </c>
      <c r="H541" s="123">
        <f>H542</f>
        <v>0</v>
      </c>
      <c r="I541" s="123">
        <f>I542</f>
        <v>0</v>
      </c>
      <c r="J541" s="123">
        <f>J542</f>
        <v>0</v>
      </c>
      <c r="K541" s="32">
        <f t="shared" si="132"/>
        <v>11533870</v>
      </c>
      <c r="L541" s="123">
        <f>L542</f>
        <v>0</v>
      </c>
      <c r="M541" s="123">
        <f>M542</f>
        <v>0</v>
      </c>
      <c r="N541" s="123">
        <f>N542</f>
        <v>0</v>
      </c>
      <c r="O541" s="123">
        <f>O542</f>
        <v>11533870</v>
      </c>
      <c r="P541" s="123">
        <f>P542</f>
        <v>11533870</v>
      </c>
      <c r="Q541" s="32">
        <f t="shared" si="133"/>
        <v>11533870</v>
      </c>
    </row>
    <row r="542" spans="1:17" s="2" customFormat="1" ht="25.5">
      <c r="A542" s="50" t="s">
        <v>294</v>
      </c>
      <c r="B542" s="28" t="s">
        <v>87</v>
      </c>
      <c r="C542" s="50" t="s">
        <v>980</v>
      </c>
      <c r="D542" s="50" t="s">
        <v>576</v>
      </c>
      <c r="E542" s="51" t="s">
        <v>174</v>
      </c>
      <c r="F542" s="32">
        <f t="shared" si="131"/>
        <v>0</v>
      </c>
      <c r="G542" s="27"/>
      <c r="H542" s="27"/>
      <c r="I542" s="27"/>
      <c r="J542" s="27"/>
      <c r="K542" s="32">
        <f t="shared" si="132"/>
        <v>11533870</v>
      </c>
      <c r="L542" s="27"/>
      <c r="M542" s="27"/>
      <c r="N542" s="27"/>
      <c r="O542" s="27">
        <f>P542</f>
        <v>11533870</v>
      </c>
      <c r="P542" s="27">
        <f>7830239+2170416+299800+317040-299800-1804000+1219+193077-50174+261217-1207315+3791902+30249</f>
        <v>11533870</v>
      </c>
      <c r="Q542" s="32">
        <f t="shared" si="133"/>
        <v>11533870</v>
      </c>
    </row>
    <row r="543" spans="1:17" s="2" customFormat="1" ht="27.75" customHeight="1">
      <c r="A543" s="116" t="s">
        <v>729</v>
      </c>
      <c r="B543" s="116" t="s">
        <v>634</v>
      </c>
      <c r="C543" s="116" t="s">
        <v>1021</v>
      </c>
      <c r="D543" s="116"/>
      <c r="E543" s="125" t="s">
        <v>635</v>
      </c>
      <c r="F543" s="121">
        <f t="shared" si="131"/>
        <v>361488</v>
      </c>
      <c r="G543" s="121">
        <f>G544</f>
        <v>361488</v>
      </c>
      <c r="H543" s="121">
        <f>H544</f>
        <v>0</v>
      </c>
      <c r="I543" s="121">
        <f>I544</f>
        <v>0</v>
      </c>
      <c r="J543" s="121">
        <f>J544</f>
        <v>0</v>
      </c>
      <c r="K543" s="32">
        <f t="shared" si="132"/>
        <v>0</v>
      </c>
      <c r="L543" s="121">
        <f>L544</f>
        <v>0</v>
      </c>
      <c r="M543" s="121">
        <f>M544</f>
        <v>0</v>
      </c>
      <c r="N543" s="121">
        <f>N544</f>
        <v>0</v>
      </c>
      <c r="O543" s="121">
        <f>O544</f>
        <v>0</v>
      </c>
      <c r="P543" s="121">
        <f>P544</f>
        <v>0</v>
      </c>
      <c r="Q543" s="121">
        <f t="shared" si="133"/>
        <v>361488</v>
      </c>
    </row>
    <row r="544" spans="1:17" s="2" customFormat="1" ht="12.75">
      <c r="A544" s="89" t="s">
        <v>426</v>
      </c>
      <c r="B544" s="89" t="s">
        <v>54</v>
      </c>
      <c r="C544" s="89" t="s">
        <v>1093</v>
      </c>
      <c r="D544" s="89" t="s">
        <v>577</v>
      </c>
      <c r="E544" s="99" t="s">
        <v>416</v>
      </c>
      <c r="F544" s="92">
        <f t="shared" si="131"/>
        <v>361488</v>
      </c>
      <c r="G544" s="92">
        <f>SUM(G545:G553)</f>
        <v>361488</v>
      </c>
      <c r="H544" s="92">
        <f>SUM(H545:H553)</f>
        <v>0</v>
      </c>
      <c r="I544" s="92">
        <f>SUM(I545:I553)</f>
        <v>0</v>
      </c>
      <c r="J544" s="92">
        <f>SUM(J545:J553)</f>
        <v>0</v>
      </c>
      <c r="K544" s="32">
        <f t="shared" si="132"/>
        <v>0</v>
      </c>
      <c r="L544" s="92">
        <f>SUM(L545:L553)</f>
        <v>0</v>
      </c>
      <c r="M544" s="92">
        <f>SUM(M545:M553)</f>
        <v>0</v>
      </c>
      <c r="N544" s="92">
        <f>SUM(N545:N553)</f>
        <v>0</v>
      </c>
      <c r="O544" s="92">
        <f>SUM(O545:O553)</f>
        <v>0</v>
      </c>
      <c r="P544" s="92">
        <f>SUM(P545:P553)</f>
        <v>0</v>
      </c>
      <c r="Q544" s="92">
        <f t="shared" si="133"/>
        <v>361488</v>
      </c>
    </row>
    <row r="545" spans="1:17" ht="56.25" customHeight="1" hidden="1">
      <c r="A545" s="59" t="s">
        <v>936</v>
      </c>
      <c r="B545" s="50" t="s">
        <v>54</v>
      </c>
      <c r="C545" s="50" t="s">
        <v>984</v>
      </c>
      <c r="D545" s="50" t="s">
        <v>577</v>
      </c>
      <c r="E545" s="48" t="s">
        <v>178</v>
      </c>
      <c r="F545" s="32">
        <f t="shared" si="131"/>
        <v>0</v>
      </c>
      <c r="G545" s="27"/>
      <c r="H545" s="27"/>
      <c r="I545" s="27"/>
      <c r="J545" s="27"/>
      <c r="K545" s="32">
        <f t="shared" si="132"/>
        <v>0</v>
      </c>
      <c r="L545" s="27"/>
      <c r="M545" s="27"/>
      <c r="N545" s="27"/>
      <c r="O545" s="27"/>
      <c r="P545" s="27"/>
      <c r="Q545" s="32">
        <f t="shared" si="133"/>
        <v>0</v>
      </c>
    </row>
    <row r="546" spans="1:17" s="181" customFormat="1" ht="41.25" customHeight="1" hidden="1">
      <c r="A546" s="170" t="s">
        <v>369</v>
      </c>
      <c r="B546" s="171" t="s">
        <v>54</v>
      </c>
      <c r="C546" s="170" t="s">
        <v>985</v>
      </c>
      <c r="D546" s="170" t="s">
        <v>577</v>
      </c>
      <c r="E546" s="178" t="s">
        <v>853</v>
      </c>
      <c r="F546" s="185">
        <f t="shared" si="131"/>
        <v>211200</v>
      </c>
      <c r="G546" s="180">
        <v>211200</v>
      </c>
      <c r="H546" s="180"/>
      <c r="I546" s="180"/>
      <c r="J546" s="180"/>
      <c r="K546" s="185">
        <f t="shared" si="132"/>
        <v>0</v>
      </c>
      <c r="L546" s="173"/>
      <c r="M546" s="173"/>
      <c r="N546" s="173"/>
      <c r="O546" s="173"/>
      <c r="P546" s="173"/>
      <c r="Q546" s="185">
        <f t="shared" si="133"/>
        <v>211200</v>
      </c>
    </row>
    <row r="547" spans="1:17" s="169" customFormat="1" ht="51" customHeight="1" hidden="1">
      <c r="A547" s="170" t="s">
        <v>398</v>
      </c>
      <c r="B547" s="170" t="s">
        <v>54</v>
      </c>
      <c r="C547" s="170" t="s">
        <v>986</v>
      </c>
      <c r="D547" s="170" t="s">
        <v>577</v>
      </c>
      <c r="E547" s="178" t="s">
        <v>333</v>
      </c>
      <c r="F547" s="185">
        <f t="shared" si="131"/>
        <v>50673</v>
      </c>
      <c r="G547" s="173">
        <v>50673</v>
      </c>
      <c r="H547" s="173"/>
      <c r="I547" s="173"/>
      <c r="J547" s="173"/>
      <c r="K547" s="185">
        <f t="shared" si="132"/>
        <v>0</v>
      </c>
      <c r="L547" s="173"/>
      <c r="M547" s="173"/>
      <c r="N547" s="173"/>
      <c r="O547" s="173"/>
      <c r="P547" s="173"/>
      <c r="Q547" s="185">
        <f t="shared" si="133"/>
        <v>50673</v>
      </c>
    </row>
    <row r="548" spans="1:17" s="169" customFormat="1" ht="50.25" customHeight="1" hidden="1">
      <c r="A548" s="170" t="s">
        <v>937</v>
      </c>
      <c r="B548" s="170" t="s">
        <v>54</v>
      </c>
      <c r="C548" s="170" t="s">
        <v>987</v>
      </c>
      <c r="D548" s="170" t="s">
        <v>577</v>
      </c>
      <c r="E548" s="178" t="s">
        <v>479</v>
      </c>
      <c r="F548" s="185">
        <f t="shared" si="131"/>
        <v>0</v>
      </c>
      <c r="G548" s="173"/>
      <c r="H548" s="173"/>
      <c r="I548" s="173"/>
      <c r="J548" s="173"/>
      <c r="K548" s="185">
        <f t="shared" si="132"/>
        <v>0</v>
      </c>
      <c r="L548" s="173"/>
      <c r="M548" s="173"/>
      <c r="N548" s="173"/>
      <c r="O548" s="173"/>
      <c r="P548" s="173"/>
      <c r="Q548" s="185">
        <f t="shared" si="133"/>
        <v>0</v>
      </c>
    </row>
    <row r="549" spans="1:17" s="169" customFormat="1" ht="53.25" customHeight="1" hidden="1">
      <c r="A549" s="170" t="s">
        <v>439</v>
      </c>
      <c r="B549" s="170" t="s">
        <v>54</v>
      </c>
      <c r="C549" s="170" t="s">
        <v>988</v>
      </c>
      <c r="D549" s="170" t="s">
        <v>577</v>
      </c>
      <c r="E549" s="178" t="s">
        <v>362</v>
      </c>
      <c r="F549" s="185">
        <f t="shared" si="131"/>
        <v>0</v>
      </c>
      <c r="G549" s="173"/>
      <c r="H549" s="173"/>
      <c r="I549" s="173"/>
      <c r="J549" s="173"/>
      <c r="K549" s="185">
        <f t="shared" si="132"/>
        <v>0</v>
      </c>
      <c r="L549" s="173"/>
      <c r="M549" s="173"/>
      <c r="N549" s="173"/>
      <c r="O549" s="173"/>
      <c r="P549" s="173"/>
      <c r="Q549" s="185">
        <f t="shared" si="133"/>
        <v>0</v>
      </c>
    </row>
    <row r="550" spans="1:17" s="169" customFormat="1" ht="51" hidden="1">
      <c r="A550" s="170" t="s">
        <v>465</v>
      </c>
      <c r="B550" s="170" t="s">
        <v>54</v>
      </c>
      <c r="C550" s="170" t="s">
        <v>989</v>
      </c>
      <c r="D550" s="170" t="s">
        <v>577</v>
      </c>
      <c r="E550" s="178" t="s">
        <v>320</v>
      </c>
      <c r="F550" s="185">
        <f t="shared" si="131"/>
        <v>75855</v>
      </c>
      <c r="G550" s="173">
        <v>75855</v>
      </c>
      <c r="H550" s="173"/>
      <c r="I550" s="173"/>
      <c r="J550" s="173"/>
      <c r="K550" s="185">
        <f t="shared" si="132"/>
        <v>0</v>
      </c>
      <c r="L550" s="173"/>
      <c r="M550" s="173"/>
      <c r="N550" s="173"/>
      <c r="O550" s="173"/>
      <c r="P550" s="173"/>
      <c r="Q550" s="185">
        <f t="shared" si="133"/>
        <v>75855</v>
      </c>
    </row>
    <row r="551" spans="1:17" s="169" customFormat="1" ht="102" customHeight="1" hidden="1">
      <c r="A551" s="170" t="s">
        <v>938</v>
      </c>
      <c r="B551" s="170" t="s">
        <v>54</v>
      </c>
      <c r="C551" s="170" t="s">
        <v>990</v>
      </c>
      <c r="D551" s="170" t="s">
        <v>577</v>
      </c>
      <c r="E551" s="178" t="s">
        <v>366</v>
      </c>
      <c r="F551" s="185">
        <f t="shared" si="131"/>
        <v>0</v>
      </c>
      <c r="G551" s="176"/>
      <c r="H551" s="176"/>
      <c r="I551" s="176"/>
      <c r="J551" s="176"/>
      <c r="K551" s="185">
        <f t="shared" si="132"/>
        <v>0</v>
      </c>
      <c r="L551" s="176"/>
      <c r="M551" s="176"/>
      <c r="N551" s="176"/>
      <c r="O551" s="176"/>
      <c r="P551" s="176"/>
      <c r="Q551" s="185">
        <f t="shared" si="133"/>
        <v>0</v>
      </c>
    </row>
    <row r="552" spans="1:17" s="169" customFormat="1" ht="25.5" hidden="1">
      <c r="A552" s="170" t="s">
        <v>445</v>
      </c>
      <c r="B552" s="170" t="s">
        <v>54</v>
      </c>
      <c r="C552" s="170" t="s">
        <v>991</v>
      </c>
      <c r="D552" s="170" t="s">
        <v>577</v>
      </c>
      <c r="E552" s="178" t="s">
        <v>886</v>
      </c>
      <c r="F552" s="185">
        <f t="shared" si="131"/>
        <v>23760</v>
      </c>
      <c r="G552" s="176">
        <v>23760</v>
      </c>
      <c r="H552" s="176"/>
      <c r="I552" s="176"/>
      <c r="J552" s="176"/>
      <c r="K552" s="185">
        <f t="shared" si="132"/>
        <v>0</v>
      </c>
      <c r="L552" s="176"/>
      <c r="M552" s="176"/>
      <c r="N552" s="176"/>
      <c r="O552" s="176"/>
      <c r="P552" s="176"/>
      <c r="Q552" s="185">
        <f t="shared" si="133"/>
        <v>23760</v>
      </c>
    </row>
    <row r="553" spans="1:17" s="169" customFormat="1" ht="15" customHeight="1" hidden="1">
      <c r="A553" s="170" t="s">
        <v>939</v>
      </c>
      <c r="B553" s="171" t="s">
        <v>54</v>
      </c>
      <c r="C553" s="170" t="s">
        <v>1131</v>
      </c>
      <c r="D553" s="170" t="s">
        <v>577</v>
      </c>
      <c r="E553" s="178" t="s">
        <v>834</v>
      </c>
      <c r="F553" s="185">
        <f t="shared" si="131"/>
        <v>0</v>
      </c>
      <c r="G553" s="173"/>
      <c r="H553" s="173"/>
      <c r="I553" s="173"/>
      <c r="J553" s="173"/>
      <c r="K553" s="185">
        <f t="shared" si="132"/>
        <v>0</v>
      </c>
      <c r="L553" s="173"/>
      <c r="M553" s="173"/>
      <c r="N553" s="173"/>
      <c r="O553" s="173"/>
      <c r="P553" s="173"/>
      <c r="Q553" s="185">
        <f t="shared" si="133"/>
        <v>0</v>
      </c>
    </row>
    <row r="554" spans="1:17" ht="12.75">
      <c r="A554" s="112" t="s">
        <v>872</v>
      </c>
      <c r="B554" s="112" t="s">
        <v>98</v>
      </c>
      <c r="C554" s="112" t="s">
        <v>1015</v>
      </c>
      <c r="D554" s="112"/>
      <c r="E554" s="122" t="s">
        <v>99</v>
      </c>
      <c r="F554" s="32">
        <f>G554+J554</f>
        <v>0</v>
      </c>
      <c r="G554" s="114">
        <f>G556+G555</f>
        <v>0</v>
      </c>
      <c r="H554" s="114">
        <f aca="true" t="shared" si="134" ref="H554:Q554">H556+H555</f>
        <v>0</v>
      </c>
      <c r="I554" s="114">
        <f t="shared" si="134"/>
        <v>0</v>
      </c>
      <c r="J554" s="114">
        <f t="shared" si="134"/>
        <v>0</v>
      </c>
      <c r="K554" s="114">
        <f t="shared" si="134"/>
        <v>3750000</v>
      </c>
      <c r="L554" s="114">
        <f t="shared" si="134"/>
        <v>0</v>
      </c>
      <c r="M554" s="114">
        <f t="shared" si="134"/>
        <v>0</v>
      </c>
      <c r="N554" s="114">
        <f t="shared" si="134"/>
        <v>0</v>
      </c>
      <c r="O554" s="114">
        <f t="shared" si="134"/>
        <v>3750000</v>
      </c>
      <c r="P554" s="114">
        <f t="shared" si="134"/>
        <v>0</v>
      </c>
      <c r="Q554" s="114">
        <f t="shared" si="134"/>
        <v>3750000</v>
      </c>
    </row>
    <row r="555" spans="1:17" ht="25.5">
      <c r="A555" s="50" t="s">
        <v>973</v>
      </c>
      <c r="B555" s="28" t="s">
        <v>86</v>
      </c>
      <c r="C555" s="50" t="s">
        <v>1016</v>
      </c>
      <c r="D555" s="50" t="s">
        <v>587</v>
      </c>
      <c r="E555" s="25" t="s">
        <v>93</v>
      </c>
      <c r="F555" s="32"/>
      <c r="G555" s="114"/>
      <c r="H555" s="114"/>
      <c r="I555" s="114"/>
      <c r="J555" s="114"/>
      <c r="K555" s="32">
        <f aca="true" t="shared" si="135" ref="K555:K560">L555+O555</f>
        <v>3750000</v>
      </c>
      <c r="L555" s="114"/>
      <c r="M555" s="114"/>
      <c r="N555" s="114"/>
      <c r="O555" s="114">
        <f>3750000-3750000+3750000</f>
        <v>3750000</v>
      </c>
      <c r="P555" s="114"/>
      <c r="Q555" s="114">
        <f>F555+K555</f>
        <v>3750000</v>
      </c>
    </row>
    <row r="556" spans="1:17" s="2" customFormat="1" ht="52.5" customHeight="1" hidden="1">
      <c r="A556" s="89" t="s">
        <v>960</v>
      </c>
      <c r="B556" s="89" t="s">
        <v>53</v>
      </c>
      <c r="C556" s="89" t="s">
        <v>993</v>
      </c>
      <c r="D556" s="89"/>
      <c r="E556" s="91" t="s">
        <v>431</v>
      </c>
      <c r="F556" s="32">
        <f>G556+J556</f>
        <v>0</v>
      </c>
      <c r="G556" s="88">
        <f>G557</f>
        <v>0</v>
      </c>
      <c r="H556" s="88">
        <f>H557</f>
        <v>0</v>
      </c>
      <c r="I556" s="88">
        <f>I557</f>
        <v>0</v>
      </c>
      <c r="J556" s="88">
        <f>J557</f>
        <v>0</v>
      </c>
      <c r="K556" s="32">
        <f t="shared" si="135"/>
        <v>0</v>
      </c>
      <c r="L556" s="88">
        <f>L557</f>
        <v>0</v>
      </c>
      <c r="M556" s="88">
        <f>M557</f>
        <v>0</v>
      </c>
      <c r="N556" s="88">
        <f>N557</f>
        <v>0</v>
      </c>
      <c r="O556" s="88">
        <f>O557</f>
        <v>0</v>
      </c>
      <c r="P556" s="88">
        <f>P557</f>
        <v>0</v>
      </c>
      <c r="Q556" s="32">
        <f>F556+K556</f>
        <v>0</v>
      </c>
    </row>
    <row r="557" spans="1:17" s="2" customFormat="1" ht="33" customHeight="1" hidden="1">
      <c r="A557" s="7" t="s">
        <v>960</v>
      </c>
      <c r="B557" s="7" t="s">
        <v>53</v>
      </c>
      <c r="C557" s="7" t="s">
        <v>993</v>
      </c>
      <c r="D557" s="7"/>
      <c r="E557" s="48" t="s">
        <v>175</v>
      </c>
      <c r="F557" s="32">
        <f>G557+J557</f>
        <v>0</v>
      </c>
      <c r="G557" s="18"/>
      <c r="H557" s="18"/>
      <c r="I557" s="18"/>
      <c r="J557" s="18"/>
      <c r="K557" s="32">
        <f t="shared" si="135"/>
        <v>0</v>
      </c>
      <c r="L557" s="18"/>
      <c r="M557" s="18"/>
      <c r="N557" s="18"/>
      <c r="O557" s="18"/>
      <c r="P557" s="18"/>
      <c r="Q557" s="32">
        <f>F557+K557</f>
        <v>0</v>
      </c>
    </row>
    <row r="558" spans="1:18" s="12" customFormat="1" ht="38.25">
      <c r="A558" s="11" t="s">
        <v>295</v>
      </c>
      <c r="B558" s="11" t="s">
        <v>148</v>
      </c>
      <c r="C558" s="11" t="s">
        <v>148</v>
      </c>
      <c r="D558" s="11"/>
      <c r="E558" s="13" t="s">
        <v>790</v>
      </c>
      <c r="F558" s="21">
        <f>G558+J558</f>
        <v>16157689</v>
      </c>
      <c r="G558" s="21">
        <f>G559</f>
        <v>16157689</v>
      </c>
      <c r="H558" s="21">
        <f>H559</f>
        <v>4909443</v>
      </c>
      <c r="I558" s="21">
        <f>I559</f>
        <v>620032</v>
      </c>
      <c r="J558" s="21">
        <f>J559</f>
        <v>0</v>
      </c>
      <c r="K558" s="21">
        <f t="shared" si="135"/>
        <v>21332713</v>
      </c>
      <c r="L558" s="21">
        <f>L559</f>
        <v>100241</v>
      </c>
      <c r="M558" s="21">
        <f>M559</f>
        <v>0</v>
      </c>
      <c r="N558" s="21">
        <f>N559</f>
        <v>0</v>
      </c>
      <c r="O558" s="21">
        <f>O559</f>
        <v>21232472</v>
      </c>
      <c r="P558" s="21">
        <f>P559</f>
        <v>21232472</v>
      </c>
      <c r="Q558" s="21">
        <f>F558+K558</f>
        <v>37490402</v>
      </c>
      <c r="R558" s="192"/>
    </row>
    <row r="559" spans="1:17" s="2" customFormat="1" ht="38.25">
      <c r="A559" s="7" t="s">
        <v>296</v>
      </c>
      <c r="B559" s="7"/>
      <c r="C559" s="7"/>
      <c r="D559" s="7"/>
      <c r="E559" s="3" t="s">
        <v>790</v>
      </c>
      <c r="F559" s="18">
        <f>G559+J559</f>
        <v>16157689</v>
      </c>
      <c r="G559" s="18">
        <f>G560+G562+G565+G570+G581+G568</f>
        <v>16157689</v>
      </c>
      <c r="H559" s="18">
        <f>H560+H562+H565+H570+H581+H568</f>
        <v>4909443</v>
      </c>
      <c r="I559" s="18">
        <f>I560+I562+I565+I570+I581+I568</f>
        <v>620032</v>
      </c>
      <c r="J559" s="18">
        <f>J560+J562+J565+J570+J581+J568</f>
        <v>0</v>
      </c>
      <c r="K559" s="18">
        <f t="shared" si="135"/>
        <v>21332713</v>
      </c>
      <c r="L559" s="18">
        <f>L560+L562+L565+L570+L581+L568</f>
        <v>100241</v>
      </c>
      <c r="M559" s="18">
        <f>M560+M562+M565+M570+M581+M568</f>
        <v>0</v>
      </c>
      <c r="N559" s="18">
        <f>N560+N562+N565+N570+N581+N568</f>
        <v>0</v>
      </c>
      <c r="O559" s="18">
        <f>O560+O562+O565+O570+O581+O568</f>
        <v>21232472</v>
      </c>
      <c r="P559" s="18">
        <f>P560+P562+P565+P570+P581+P568</f>
        <v>21232472</v>
      </c>
      <c r="Q559" s="18">
        <f>F559+K559</f>
        <v>37490402</v>
      </c>
    </row>
    <row r="560" spans="1:17" s="2" customFormat="1" ht="12.75">
      <c r="A560" s="117" t="s">
        <v>730</v>
      </c>
      <c r="B560" s="116" t="s">
        <v>671</v>
      </c>
      <c r="C560" s="116" t="s">
        <v>972</v>
      </c>
      <c r="D560" s="116"/>
      <c r="E560" s="124" t="s">
        <v>673</v>
      </c>
      <c r="F560" s="18">
        <f aca="true" t="shared" si="136" ref="F560:F580">G560+J560</f>
        <v>7586743</v>
      </c>
      <c r="G560" s="121">
        <f>G561</f>
        <v>7586743</v>
      </c>
      <c r="H560" s="121">
        <f>H561</f>
        <v>4909443</v>
      </c>
      <c r="I560" s="121">
        <f>I561</f>
        <v>424112</v>
      </c>
      <c r="J560" s="121">
        <f>J561</f>
        <v>0</v>
      </c>
      <c r="K560" s="18">
        <f t="shared" si="135"/>
        <v>692660</v>
      </c>
      <c r="L560" s="121">
        <f>L561</f>
        <v>3792</v>
      </c>
      <c r="M560" s="121">
        <f>M561</f>
        <v>0</v>
      </c>
      <c r="N560" s="121">
        <f>N561</f>
        <v>0</v>
      </c>
      <c r="O560" s="121">
        <f>O561</f>
        <v>688868</v>
      </c>
      <c r="P560" s="121">
        <f>P561</f>
        <v>688868</v>
      </c>
      <c r="Q560" s="18">
        <f aca="true" t="shared" si="137" ref="Q560:Q580">F560+K560</f>
        <v>8279403</v>
      </c>
    </row>
    <row r="561" spans="1:17" s="1" customFormat="1" ht="63.75">
      <c r="A561" s="6" t="s">
        <v>24</v>
      </c>
      <c r="B561" s="6" t="s">
        <v>33</v>
      </c>
      <c r="C561" s="6" t="s">
        <v>613</v>
      </c>
      <c r="D561" s="6" t="s">
        <v>574</v>
      </c>
      <c r="E561" s="51" t="s">
        <v>888</v>
      </c>
      <c r="F561" s="18">
        <f t="shared" si="136"/>
        <v>7586743</v>
      </c>
      <c r="G561" s="18">
        <f>5932960+(1433042)-283676-642668+1131939+15146</f>
        <v>7586743</v>
      </c>
      <c r="H561" s="18">
        <f>4000602+896400+12441</f>
        <v>4909443</v>
      </c>
      <c r="I561" s="18">
        <v>424112</v>
      </c>
      <c r="J561" s="18"/>
      <c r="K561" s="18">
        <f aca="true" t="shared" si="138" ref="K561:K580">L561+O561</f>
        <v>692660</v>
      </c>
      <c r="L561" s="18">
        <v>3792</v>
      </c>
      <c r="M561" s="18"/>
      <c r="N561" s="18"/>
      <c r="O561" s="18">
        <f>P561</f>
        <v>688868</v>
      </c>
      <c r="P561" s="18">
        <v>688868</v>
      </c>
      <c r="Q561" s="18">
        <f t="shared" si="137"/>
        <v>8279403</v>
      </c>
    </row>
    <row r="562" spans="1:17" s="1" customFormat="1" ht="12.75">
      <c r="A562" s="116" t="s">
        <v>731</v>
      </c>
      <c r="B562" s="117" t="s">
        <v>663</v>
      </c>
      <c r="C562" s="117" t="s">
        <v>1094</v>
      </c>
      <c r="D562" s="117"/>
      <c r="E562" s="118" t="s">
        <v>665</v>
      </c>
      <c r="F562" s="121">
        <f t="shared" si="136"/>
        <v>8275876</v>
      </c>
      <c r="G562" s="121">
        <f>G563+G564</f>
        <v>8275876</v>
      </c>
      <c r="H562" s="121">
        <f>H563+H564</f>
        <v>0</v>
      </c>
      <c r="I562" s="121">
        <f>I563+I564</f>
        <v>195920</v>
      </c>
      <c r="J562" s="121">
        <f>J563+J564</f>
        <v>0</v>
      </c>
      <c r="K562" s="18">
        <f t="shared" si="138"/>
        <v>5043767</v>
      </c>
      <c r="L562" s="121">
        <f>L563+L564</f>
        <v>96449</v>
      </c>
      <c r="M562" s="121">
        <f>M563+M564</f>
        <v>0</v>
      </c>
      <c r="N562" s="121">
        <f>N563+N564</f>
        <v>0</v>
      </c>
      <c r="O562" s="121">
        <f>O563+O564</f>
        <v>4947318</v>
      </c>
      <c r="P562" s="121">
        <f>P563+P564</f>
        <v>4947318</v>
      </c>
      <c r="Q562" s="121">
        <f t="shared" si="137"/>
        <v>13319643</v>
      </c>
    </row>
    <row r="563" spans="1:17" s="2" customFormat="1" ht="51">
      <c r="A563" s="112" t="s">
        <v>772</v>
      </c>
      <c r="B563" s="112" t="s">
        <v>321</v>
      </c>
      <c r="C563" s="112" t="s">
        <v>1095</v>
      </c>
      <c r="D563" s="112" t="s">
        <v>606</v>
      </c>
      <c r="E563" s="113" t="s">
        <v>328</v>
      </c>
      <c r="F563" s="121">
        <f t="shared" si="136"/>
        <v>6241133</v>
      </c>
      <c r="G563" s="121">
        <f>4741133+1500000</f>
        <v>6241133</v>
      </c>
      <c r="H563" s="121"/>
      <c r="I563" s="121"/>
      <c r="J563" s="121"/>
      <c r="K563" s="18">
        <f t="shared" si="138"/>
        <v>0</v>
      </c>
      <c r="L563" s="121"/>
      <c r="M563" s="121"/>
      <c r="N563" s="121"/>
      <c r="O563" s="121"/>
      <c r="P563" s="121"/>
      <c r="Q563" s="121">
        <f t="shared" si="137"/>
        <v>6241133</v>
      </c>
    </row>
    <row r="564" spans="1:17" s="2" customFormat="1" ht="12.75">
      <c r="A564" s="7" t="s">
        <v>405</v>
      </c>
      <c r="B564" s="7" t="s">
        <v>123</v>
      </c>
      <c r="C564" s="7" t="s">
        <v>1106</v>
      </c>
      <c r="D564" s="7" t="s">
        <v>607</v>
      </c>
      <c r="E564" s="3" t="s">
        <v>125</v>
      </c>
      <c r="F564" s="18">
        <f t="shared" si="136"/>
        <v>2034743</v>
      </c>
      <c r="G564" s="18">
        <f>1096463+578059+145966+214255</f>
        <v>2034743</v>
      </c>
      <c r="H564" s="18"/>
      <c r="I564" s="18">
        <v>195920</v>
      </c>
      <c r="J564" s="18"/>
      <c r="K564" s="18">
        <f t="shared" si="138"/>
        <v>5043767</v>
      </c>
      <c r="L564" s="18">
        <v>96449</v>
      </c>
      <c r="M564" s="18"/>
      <c r="N564" s="18"/>
      <c r="O564" s="18">
        <f>P564</f>
        <v>4947318</v>
      </c>
      <c r="P564" s="18">
        <f>(50000)+(9800)+498000+4627841+151500-498000+21312+(86865)</f>
        <v>4947318</v>
      </c>
      <c r="Q564" s="18">
        <f t="shared" si="137"/>
        <v>7078510</v>
      </c>
    </row>
    <row r="565" spans="1:17" s="2" customFormat="1" ht="12.75">
      <c r="A565" s="112" t="s">
        <v>732</v>
      </c>
      <c r="B565" s="111" t="s">
        <v>628</v>
      </c>
      <c r="C565" s="111" t="s">
        <v>1020</v>
      </c>
      <c r="D565" s="111"/>
      <c r="E565" s="127" t="s">
        <v>630</v>
      </c>
      <c r="F565" s="18">
        <f t="shared" si="136"/>
        <v>0</v>
      </c>
      <c r="G565" s="123">
        <f>G566</f>
        <v>0</v>
      </c>
      <c r="H565" s="123">
        <f>H566</f>
        <v>0</v>
      </c>
      <c r="I565" s="123">
        <f>I566</f>
        <v>0</v>
      </c>
      <c r="J565" s="123">
        <f>J566</f>
        <v>0</v>
      </c>
      <c r="K565" s="123">
        <f t="shared" si="138"/>
        <v>15437162</v>
      </c>
      <c r="L565" s="123">
        <f>L566</f>
        <v>0</v>
      </c>
      <c r="M565" s="123">
        <f>M566</f>
        <v>0</v>
      </c>
      <c r="N565" s="123">
        <f>N566</f>
        <v>0</v>
      </c>
      <c r="O565" s="123">
        <f>O566</f>
        <v>15437162</v>
      </c>
      <c r="P565" s="123">
        <f>P566</f>
        <v>15437162</v>
      </c>
      <c r="Q565" s="123">
        <f t="shared" si="137"/>
        <v>15437162</v>
      </c>
    </row>
    <row r="566" spans="1:17" s="2" customFormat="1" ht="25.5">
      <c r="A566" s="50" t="s">
        <v>297</v>
      </c>
      <c r="B566" s="28" t="s">
        <v>87</v>
      </c>
      <c r="C566" s="50" t="s">
        <v>980</v>
      </c>
      <c r="D566" s="50" t="s">
        <v>576</v>
      </c>
      <c r="E566" s="51" t="s">
        <v>174</v>
      </c>
      <c r="F566" s="18">
        <f t="shared" si="136"/>
        <v>0</v>
      </c>
      <c r="G566" s="27"/>
      <c r="H566" s="27"/>
      <c r="I566" s="27"/>
      <c r="J566" s="27"/>
      <c r="K566" s="18">
        <f t="shared" si="138"/>
        <v>15437162</v>
      </c>
      <c r="L566" s="27"/>
      <c r="M566" s="27"/>
      <c r="N566" s="27"/>
      <c r="O566" s="27">
        <f>P566</f>
        <v>15437162</v>
      </c>
      <c r="P566" s="27">
        <f>1810040+8009630-530490+106914+499982+5043086+498000</f>
        <v>15437162</v>
      </c>
      <c r="Q566" s="18">
        <f t="shared" si="137"/>
        <v>15437162</v>
      </c>
    </row>
    <row r="567" spans="1:17" s="2" customFormat="1" ht="60">
      <c r="A567" s="50"/>
      <c r="B567" s="28"/>
      <c r="C567" s="50"/>
      <c r="D567" s="50"/>
      <c r="E567" s="135" t="s">
        <v>865</v>
      </c>
      <c r="F567" s="142"/>
      <c r="G567" s="147"/>
      <c r="H567" s="147"/>
      <c r="I567" s="147"/>
      <c r="J567" s="147"/>
      <c r="K567" s="142">
        <f t="shared" si="138"/>
        <v>5000000</v>
      </c>
      <c r="L567" s="147"/>
      <c r="M567" s="147"/>
      <c r="N567" s="147"/>
      <c r="O567" s="147">
        <f>P567</f>
        <v>5000000</v>
      </c>
      <c r="P567" s="147">
        <v>5000000</v>
      </c>
      <c r="Q567" s="142">
        <f t="shared" si="137"/>
        <v>5000000</v>
      </c>
    </row>
    <row r="568" spans="1:17" ht="25.5" customHeight="1">
      <c r="A568" s="112" t="s">
        <v>1217</v>
      </c>
      <c r="B568" s="112" t="s">
        <v>643</v>
      </c>
      <c r="C568" s="112" t="s">
        <v>1107</v>
      </c>
      <c r="D568" s="112"/>
      <c r="E568" s="113" t="s">
        <v>669</v>
      </c>
      <c r="F568" s="26">
        <f t="shared" si="136"/>
        <v>0</v>
      </c>
      <c r="G568" s="114">
        <f>G569</f>
        <v>0</v>
      </c>
      <c r="H568" s="114">
        <f>H569</f>
        <v>0</v>
      </c>
      <c r="I568" s="114">
        <f>I569</f>
        <v>0</v>
      </c>
      <c r="J568" s="114">
        <f>J569</f>
        <v>0</v>
      </c>
      <c r="K568" s="26">
        <f t="shared" si="138"/>
        <v>159124</v>
      </c>
      <c r="L568" s="114">
        <f>L569</f>
        <v>0</v>
      </c>
      <c r="M568" s="114">
        <f>M569</f>
        <v>0</v>
      </c>
      <c r="N568" s="114">
        <f>N569</f>
        <v>0</v>
      </c>
      <c r="O568" s="114">
        <f>O569</f>
        <v>159124</v>
      </c>
      <c r="P568" s="114">
        <f>P569</f>
        <v>159124</v>
      </c>
      <c r="Q568" s="26">
        <f t="shared" si="137"/>
        <v>159124</v>
      </c>
    </row>
    <row r="569" spans="1:17" ht="25.5" customHeight="1">
      <c r="A569" s="50" t="s">
        <v>1218</v>
      </c>
      <c r="B569" s="28">
        <v>170703</v>
      </c>
      <c r="C569" s="50" t="s">
        <v>1108</v>
      </c>
      <c r="D569" s="50" t="s">
        <v>608</v>
      </c>
      <c r="E569" s="48" t="s">
        <v>432</v>
      </c>
      <c r="F569" s="26">
        <f t="shared" si="136"/>
        <v>0</v>
      </c>
      <c r="G569" s="27"/>
      <c r="H569" s="27"/>
      <c r="I569" s="27"/>
      <c r="J569" s="27"/>
      <c r="K569" s="26">
        <f t="shared" si="138"/>
        <v>159124</v>
      </c>
      <c r="L569" s="27"/>
      <c r="M569" s="27"/>
      <c r="N569" s="27"/>
      <c r="O569" s="27">
        <f>P569</f>
        <v>159124</v>
      </c>
      <c r="P569" s="27">
        <v>159124</v>
      </c>
      <c r="Q569" s="26">
        <f t="shared" si="137"/>
        <v>159124</v>
      </c>
    </row>
    <row r="570" spans="1:17" s="2" customFormat="1" ht="25.5">
      <c r="A570" s="116" t="s">
        <v>733</v>
      </c>
      <c r="B570" s="117" t="s">
        <v>634</v>
      </c>
      <c r="C570" s="117" t="s">
        <v>1021</v>
      </c>
      <c r="D570" s="117"/>
      <c r="E570" s="125" t="s">
        <v>635</v>
      </c>
      <c r="F570" s="121">
        <f t="shared" si="136"/>
        <v>295070</v>
      </c>
      <c r="G570" s="121">
        <f>G571</f>
        <v>295070</v>
      </c>
      <c r="H570" s="121">
        <f>H571</f>
        <v>0</v>
      </c>
      <c r="I570" s="121">
        <f>I571</f>
        <v>0</v>
      </c>
      <c r="J570" s="121">
        <f>J571</f>
        <v>0</v>
      </c>
      <c r="K570" s="18">
        <f t="shared" si="138"/>
        <v>0</v>
      </c>
      <c r="L570" s="121">
        <f>L571</f>
        <v>0</v>
      </c>
      <c r="M570" s="121">
        <f>M571</f>
        <v>0</v>
      </c>
      <c r="N570" s="121">
        <f>N571</f>
        <v>0</v>
      </c>
      <c r="O570" s="121">
        <f>O571</f>
        <v>0</v>
      </c>
      <c r="P570" s="121">
        <f>P571</f>
        <v>0</v>
      </c>
      <c r="Q570" s="121">
        <f t="shared" si="137"/>
        <v>295070</v>
      </c>
    </row>
    <row r="571" spans="1:17" s="2" customFormat="1" ht="17.25" customHeight="1">
      <c r="A571" s="89" t="s">
        <v>427</v>
      </c>
      <c r="B571" s="89" t="s">
        <v>54</v>
      </c>
      <c r="C571" s="89" t="s">
        <v>1093</v>
      </c>
      <c r="D571" s="89" t="s">
        <v>577</v>
      </c>
      <c r="E571" s="91" t="s">
        <v>416</v>
      </c>
      <c r="F571" s="92">
        <f t="shared" si="136"/>
        <v>295070</v>
      </c>
      <c r="G571" s="92">
        <f>SUM(G572:G580)</f>
        <v>295070</v>
      </c>
      <c r="H571" s="92">
        <f>SUM(H572:H580)</f>
        <v>0</v>
      </c>
      <c r="I571" s="92">
        <f>SUM(I572:I580)</f>
        <v>0</v>
      </c>
      <c r="J571" s="92">
        <f>SUM(J572:J580)</f>
        <v>0</v>
      </c>
      <c r="K571" s="18">
        <f t="shared" si="138"/>
        <v>0</v>
      </c>
      <c r="L571" s="92">
        <f>SUM(L572:L580)</f>
        <v>0</v>
      </c>
      <c r="M571" s="92">
        <f>SUM(M572:M580)</f>
        <v>0</v>
      </c>
      <c r="N571" s="92">
        <f>SUM(N572:N580)</f>
        <v>0</v>
      </c>
      <c r="O571" s="92">
        <f>SUM(O572:O580)</f>
        <v>0</v>
      </c>
      <c r="P571" s="92">
        <f>SUM(P572:P580)</f>
        <v>0</v>
      </c>
      <c r="Q571" s="92">
        <f t="shared" si="137"/>
        <v>295070</v>
      </c>
    </row>
    <row r="572" spans="1:17" ht="56.25" customHeight="1" hidden="1">
      <c r="A572" s="59" t="s">
        <v>940</v>
      </c>
      <c r="B572" s="50" t="s">
        <v>54</v>
      </c>
      <c r="C572" s="50" t="s">
        <v>984</v>
      </c>
      <c r="D572" s="50" t="s">
        <v>577</v>
      </c>
      <c r="E572" s="48" t="s">
        <v>178</v>
      </c>
      <c r="F572" s="18">
        <f t="shared" si="136"/>
        <v>0</v>
      </c>
      <c r="G572" s="27"/>
      <c r="H572" s="27"/>
      <c r="I572" s="27"/>
      <c r="J572" s="27"/>
      <c r="K572" s="18">
        <f t="shared" si="138"/>
        <v>0</v>
      </c>
      <c r="L572" s="27"/>
      <c r="M572" s="27"/>
      <c r="N572" s="27"/>
      <c r="O572" s="27"/>
      <c r="P572" s="27"/>
      <c r="Q572" s="18">
        <f t="shared" si="137"/>
        <v>0</v>
      </c>
    </row>
    <row r="573" spans="1:17" s="181" customFormat="1" ht="41.25" customHeight="1" hidden="1">
      <c r="A573" s="170" t="s">
        <v>370</v>
      </c>
      <c r="B573" s="171" t="s">
        <v>54</v>
      </c>
      <c r="C573" s="170" t="s">
        <v>985</v>
      </c>
      <c r="D573" s="170" t="s">
        <v>577</v>
      </c>
      <c r="E573" s="178" t="s">
        <v>853</v>
      </c>
      <c r="F573" s="183">
        <f t="shared" si="136"/>
        <v>198640</v>
      </c>
      <c r="G573" s="180">
        <v>198640</v>
      </c>
      <c r="H573" s="180"/>
      <c r="I573" s="180"/>
      <c r="J573" s="180"/>
      <c r="K573" s="183">
        <f t="shared" si="138"/>
        <v>0</v>
      </c>
      <c r="L573" s="173"/>
      <c r="M573" s="173"/>
      <c r="N573" s="173"/>
      <c r="O573" s="173"/>
      <c r="P573" s="173"/>
      <c r="Q573" s="183">
        <f t="shared" si="137"/>
        <v>198640</v>
      </c>
    </row>
    <row r="574" spans="1:17" s="169" customFormat="1" ht="51" customHeight="1" hidden="1">
      <c r="A574" s="170" t="s">
        <v>399</v>
      </c>
      <c r="B574" s="170" t="s">
        <v>54</v>
      </c>
      <c r="C574" s="170" t="s">
        <v>986</v>
      </c>
      <c r="D574" s="170" t="s">
        <v>577</v>
      </c>
      <c r="E574" s="178" t="s">
        <v>333</v>
      </c>
      <c r="F574" s="183">
        <f t="shared" si="136"/>
        <v>22692</v>
      </c>
      <c r="G574" s="173">
        <v>22692</v>
      </c>
      <c r="H574" s="173"/>
      <c r="I574" s="173"/>
      <c r="J574" s="173"/>
      <c r="K574" s="183">
        <f t="shared" si="138"/>
        <v>0</v>
      </c>
      <c r="L574" s="173"/>
      <c r="M574" s="173"/>
      <c r="N574" s="173"/>
      <c r="O574" s="173"/>
      <c r="P574" s="173"/>
      <c r="Q574" s="183">
        <f t="shared" si="137"/>
        <v>22692</v>
      </c>
    </row>
    <row r="575" spans="1:17" s="169" customFormat="1" ht="50.25" customHeight="1" hidden="1">
      <c r="A575" s="170" t="s">
        <v>941</v>
      </c>
      <c r="B575" s="170" t="s">
        <v>54</v>
      </c>
      <c r="C575" s="170" t="s">
        <v>987</v>
      </c>
      <c r="D575" s="170" t="s">
        <v>577</v>
      </c>
      <c r="E575" s="178" t="s">
        <v>479</v>
      </c>
      <c r="F575" s="183">
        <f t="shared" si="136"/>
        <v>0</v>
      </c>
      <c r="G575" s="173"/>
      <c r="H575" s="173"/>
      <c r="I575" s="173"/>
      <c r="J575" s="173"/>
      <c r="K575" s="183">
        <f t="shared" si="138"/>
        <v>0</v>
      </c>
      <c r="L575" s="173"/>
      <c r="M575" s="173"/>
      <c r="N575" s="173"/>
      <c r="O575" s="173"/>
      <c r="P575" s="173"/>
      <c r="Q575" s="183">
        <f t="shared" si="137"/>
        <v>0</v>
      </c>
    </row>
    <row r="576" spans="1:17" s="169" customFormat="1" ht="53.25" customHeight="1" hidden="1">
      <c r="A576" s="170" t="s">
        <v>440</v>
      </c>
      <c r="B576" s="170" t="s">
        <v>54</v>
      </c>
      <c r="C576" s="170" t="s">
        <v>988</v>
      </c>
      <c r="D576" s="170" t="s">
        <v>577</v>
      </c>
      <c r="E576" s="178" t="s">
        <v>362</v>
      </c>
      <c r="F576" s="183">
        <f t="shared" si="136"/>
        <v>0</v>
      </c>
      <c r="G576" s="173"/>
      <c r="H576" s="173"/>
      <c r="I576" s="173"/>
      <c r="J576" s="173"/>
      <c r="K576" s="183">
        <f t="shared" si="138"/>
        <v>0</v>
      </c>
      <c r="L576" s="173"/>
      <c r="M576" s="173"/>
      <c r="N576" s="173"/>
      <c r="O576" s="173"/>
      <c r="P576" s="173"/>
      <c r="Q576" s="183">
        <f t="shared" si="137"/>
        <v>0</v>
      </c>
    </row>
    <row r="577" spans="1:17" s="169" customFormat="1" ht="51" hidden="1">
      <c r="A577" s="170" t="s">
        <v>466</v>
      </c>
      <c r="B577" s="170" t="s">
        <v>54</v>
      </c>
      <c r="C577" s="170" t="s">
        <v>989</v>
      </c>
      <c r="D577" s="170" t="s">
        <v>577</v>
      </c>
      <c r="E577" s="178" t="s">
        <v>320</v>
      </c>
      <c r="F577" s="183">
        <f t="shared" si="136"/>
        <v>49978</v>
      </c>
      <c r="G577" s="173">
        <v>49978</v>
      </c>
      <c r="H577" s="173"/>
      <c r="I577" s="173"/>
      <c r="J577" s="173"/>
      <c r="K577" s="183">
        <f t="shared" si="138"/>
        <v>0</v>
      </c>
      <c r="L577" s="173"/>
      <c r="M577" s="173"/>
      <c r="N577" s="173"/>
      <c r="O577" s="173"/>
      <c r="P577" s="173"/>
      <c r="Q577" s="183">
        <f t="shared" si="137"/>
        <v>49978</v>
      </c>
    </row>
    <row r="578" spans="1:17" s="169" customFormat="1" ht="102" customHeight="1" hidden="1">
      <c r="A578" s="170" t="s">
        <v>942</v>
      </c>
      <c r="B578" s="170" t="s">
        <v>54</v>
      </c>
      <c r="C578" s="170" t="s">
        <v>990</v>
      </c>
      <c r="D578" s="170" t="s">
        <v>577</v>
      </c>
      <c r="E578" s="178" t="s">
        <v>366</v>
      </c>
      <c r="F578" s="183">
        <f t="shared" si="136"/>
        <v>0</v>
      </c>
      <c r="G578" s="176"/>
      <c r="H578" s="176"/>
      <c r="I578" s="176"/>
      <c r="J578" s="176"/>
      <c r="K578" s="183">
        <f t="shared" si="138"/>
        <v>0</v>
      </c>
      <c r="L578" s="176"/>
      <c r="M578" s="176"/>
      <c r="N578" s="176"/>
      <c r="O578" s="176"/>
      <c r="P578" s="176"/>
      <c r="Q578" s="183">
        <f t="shared" si="137"/>
        <v>0</v>
      </c>
    </row>
    <row r="579" spans="1:17" s="169" customFormat="1" ht="25.5" hidden="1">
      <c r="A579" s="170" t="s">
        <v>446</v>
      </c>
      <c r="B579" s="170" t="s">
        <v>54</v>
      </c>
      <c r="C579" s="170" t="s">
        <v>991</v>
      </c>
      <c r="D579" s="170" t="s">
        <v>577</v>
      </c>
      <c r="E579" s="178" t="s">
        <v>886</v>
      </c>
      <c r="F579" s="183">
        <f t="shared" si="136"/>
        <v>23760</v>
      </c>
      <c r="G579" s="176">
        <v>23760</v>
      </c>
      <c r="H579" s="176"/>
      <c r="I579" s="176"/>
      <c r="J579" s="176"/>
      <c r="K579" s="183">
        <f t="shared" si="138"/>
        <v>0</v>
      </c>
      <c r="L579" s="176"/>
      <c r="M579" s="176"/>
      <c r="N579" s="176"/>
      <c r="O579" s="176"/>
      <c r="P579" s="176"/>
      <c r="Q579" s="183">
        <f t="shared" si="137"/>
        <v>23760</v>
      </c>
    </row>
    <row r="580" spans="1:17" s="43" customFormat="1" ht="15" customHeight="1" hidden="1">
      <c r="A580" s="59" t="s">
        <v>943</v>
      </c>
      <c r="B580" s="31" t="s">
        <v>54</v>
      </c>
      <c r="C580" s="59" t="s">
        <v>1131</v>
      </c>
      <c r="D580" s="59" t="s">
        <v>577</v>
      </c>
      <c r="E580" s="48" t="s">
        <v>834</v>
      </c>
      <c r="F580" s="18">
        <f t="shared" si="136"/>
        <v>0</v>
      </c>
      <c r="G580" s="26"/>
      <c r="H580" s="26"/>
      <c r="I580" s="26"/>
      <c r="J580" s="26"/>
      <c r="K580" s="18">
        <f t="shared" si="138"/>
        <v>0</v>
      </c>
      <c r="L580" s="26"/>
      <c r="M580" s="26"/>
      <c r="N580" s="26"/>
      <c r="O580" s="26"/>
      <c r="P580" s="26"/>
      <c r="Q580" s="18">
        <f t="shared" si="137"/>
        <v>0</v>
      </c>
    </row>
    <row r="581" spans="1:17" ht="12.75" hidden="1">
      <c r="A581" s="112" t="s">
        <v>944</v>
      </c>
      <c r="B581" s="112" t="s">
        <v>98</v>
      </c>
      <c r="C581" s="112" t="s">
        <v>1015</v>
      </c>
      <c r="D581" s="112"/>
      <c r="E581" s="122" t="s">
        <v>99</v>
      </c>
      <c r="F581" s="32">
        <f>G581+J581</f>
        <v>0</v>
      </c>
      <c r="G581" s="114">
        <f>G582</f>
        <v>0</v>
      </c>
      <c r="H581" s="114">
        <f aca="true" t="shared" si="139" ref="H581:J582">H582</f>
        <v>0</v>
      </c>
      <c r="I581" s="114">
        <f t="shared" si="139"/>
        <v>0</v>
      </c>
      <c r="J581" s="114">
        <f t="shared" si="139"/>
        <v>0</v>
      </c>
      <c r="K581" s="32">
        <f>L581+O581</f>
        <v>0</v>
      </c>
      <c r="L581" s="114">
        <f aca="true" t="shared" si="140" ref="L581:P582">L582</f>
        <v>0</v>
      </c>
      <c r="M581" s="114">
        <f t="shared" si="140"/>
        <v>0</v>
      </c>
      <c r="N581" s="114">
        <f t="shared" si="140"/>
        <v>0</v>
      </c>
      <c r="O581" s="114">
        <f t="shared" si="140"/>
        <v>0</v>
      </c>
      <c r="P581" s="114">
        <f t="shared" si="140"/>
        <v>0</v>
      </c>
      <c r="Q581" s="32">
        <f>F581+K581</f>
        <v>0</v>
      </c>
    </row>
    <row r="582" spans="1:17" s="2" customFormat="1" ht="52.5" customHeight="1" hidden="1">
      <c r="A582" s="89" t="s">
        <v>945</v>
      </c>
      <c r="B582" s="89" t="s">
        <v>53</v>
      </c>
      <c r="C582" s="89" t="s">
        <v>1132</v>
      </c>
      <c r="D582" s="89"/>
      <c r="E582" s="91" t="s">
        <v>431</v>
      </c>
      <c r="F582" s="32">
        <f>G582+J582</f>
        <v>0</v>
      </c>
      <c r="G582" s="88">
        <f>G583</f>
        <v>0</v>
      </c>
      <c r="H582" s="88">
        <f t="shared" si="139"/>
        <v>0</v>
      </c>
      <c r="I582" s="88">
        <f t="shared" si="139"/>
        <v>0</v>
      </c>
      <c r="J582" s="88">
        <f t="shared" si="139"/>
        <v>0</v>
      </c>
      <c r="K582" s="32">
        <f>L582+O582</f>
        <v>0</v>
      </c>
      <c r="L582" s="88">
        <f t="shared" si="140"/>
        <v>0</v>
      </c>
      <c r="M582" s="88">
        <f t="shared" si="140"/>
        <v>0</v>
      </c>
      <c r="N582" s="88">
        <f t="shared" si="140"/>
        <v>0</v>
      </c>
      <c r="O582" s="88">
        <f t="shared" si="140"/>
        <v>0</v>
      </c>
      <c r="P582" s="88">
        <f t="shared" si="140"/>
        <v>0</v>
      </c>
      <c r="Q582" s="32">
        <f>F582+K582</f>
        <v>0</v>
      </c>
    </row>
    <row r="583" spans="1:17" s="2" customFormat="1" ht="26.25" customHeight="1" hidden="1">
      <c r="A583" s="7" t="s">
        <v>959</v>
      </c>
      <c r="B583" s="7" t="s">
        <v>53</v>
      </c>
      <c r="C583" s="7" t="s">
        <v>993</v>
      </c>
      <c r="D583" s="7"/>
      <c r="E583" s="3" t="s">
        <v>175</v>
      </c>
      <c r="F583" s="18">
        <f>G583+J583</f>
        <v>0</v>
      </c>
      <c r="G583" s="18"/>
      <c r="H583" s="18"/>
      <c r="I583" s="18"/>
      <c r="J583" s="18"/>
      <c r="K583" s="18">
        <f>L583+O583</f>
        <v>0</v>
      </c>
      <c r="L583" s="18"/>
      <c r="M583" s="18"/>
      <c r="N583" s="18"/>
      <c r="O583" s="18"/>
      <c r="P583" s="18"/>
      <c r="Q583" s="18">
        <f>F583+K583</f>
        <v>0</v>
      </c>
    </row>
    <row r="584" spans="1:18" s="12" customFormat="1" ht="38.25">
      <c r="A584" s="11" t="s">
        <v>298</v>
      </c>
      <c r="B584" s="11" t="s">
        <v>149</v>
      </c>
      <c r="C584" s="11" t="s">
        <v>149</v>
      </c>
      <c r="D584" s="11"/>
      <c r="E584" s="13" t="s">
        <v>137</v>
      </c>
      <c r="F584" s="20">
        <f>G584+J584</f>
        <v>18200877</v>
      </c>
      <c r="G584" s="20">
        <f>G585</f>
        <v>18200877</v>
      </c>
      <c r="H584" s="20">
        <f>H585</f>
        <v>5424267</v>
      </c>
      <c r="I584" s="20">
        <f>I585</f>
        <v>463650</v>
      </c>
      <c r="J584" s="20">
        <f>J585</f>
        <v>0</v>
      </c>
      <c r="K584" s="20">
        <f>L584+O584</f>
        <v>15813589</v>
      </c>
      <c r="L584" s="20">
        <f>L585</f>
        <v>355258</v>
      </c>
      <c r="M584" s="20">
        <f>M585</f>
        <v>0</v>
      </c>
      <c r="N584" s="20">
        <f>N585</f>
        <v>0</v>
      </c>
      <c r="O584" s="20">
        <f>O585</f>
        <v>15458331</v>
      </c>
      <c r="P584" s="20">
        <f>P585</f>
        <v>15401567</v>
      </c>
      <c r="Q584" s="20">
        <f>F584+K584</f>
        <v>34014466</v>
      </c>
      <c r="R584" s="192"/>
    </row>
    <row r="585" spans="1:17" s="2" customFormat="1" ht="38.25">
      <c r="A585" s="7" t="s">
        <v>299</v>
      </c>
      <c r="B585" s="7"/>
      <c r="C585" s="7"/>
      <c r="D585" s="7"/>
      <c r="E585" s="3" t="s">
        <v>137</v>
      </c>
      <c r="F585" s="17">
        <f>G585+J585</f>
        <v>18200877</v>
      </c>
      <c r="G585" s="17">
        <f>G586+G588+G591+G593+G604</f>
        <v>18200877</v>
      </c>
      <c r="H585" s="17">
        <f>H586+H588+H591+H593+H604</f>
        <v>5424267</v>
      </c>
      <c r="I585" s="17">
        <f>I586+I588+I591+I593+I604</f>
        <v>463650</v>
      </c>
      <c r="J585" s="17">
        <f>J586+J588+J591+J593+J604</f>
        <v>0</v>
      </c>
      <c r="K585" s="17">
        <f>L585+O585</f>
        <v>15813589</v>
      </c>
      <c r="L585" s="17">
        <f>L586+L588+L591+L593+L604</f>
        <v>355258</v>
      </c>
      <c r="M585" s="17">
        <f>M586+M588+M591+M593+M604</f>
        <v>0</v>
      </c>
      <c r="N585" s="17">
        <f>N586+N588+N591+N593+N604</f>
        <v>0</v>
      </c>
      <c r="O585" s="17">
        <f>O586+O588+O591+O593+O604</f>
        <v>15458331</v>
      </c>
      <c r="P585" s="17">
        <f>P586+P588+P591+P593+P604</f>
        <v>15401567</v>
      </c>
      <c r="Q585" s="17">
        <f>F585+K585</f>
        <v>34014466</v>
      </c>
    </row>
    <row r="586" spans="1:17" s="2" customFormat="1" ht="12.75">
      <c r="A586" s="117" t="s">
        <v>734</v>
      </c>
      <c r="B586" s="116" t="s">
        <v>671</v>
      </c>
      <c r="C586" s="116" t="s">
        <v>972</v>
      </c>
      <c r="D586" s="116"/>
      <c r="E586" s="124" t="s">
        <v>673</v>
      </c>
      <c r="F586" s="17">
        <f aca="true" t="shared" si="141" ref="F586:F603">G586+J586</f>
        <v>7467533</v>
      </c>
      <c r="G586" s="132">
        <f>G587</f>
        <v>7467533</v>
      </c>
      <c r="H586" s="132">
        <f>H587</f>
        <v>5424267</v>
      </c>
      <c r="I586" s="132">
        <f>I587</f>
        <v>463650</v>
      </c>
      <c r="J586" s="132">
        <f>J587</f>
        <v>0</v>
      </c>
      <c r="K586" s="17">
        <f aca="true" t="shared" si="142" ref="K586:K603">L586+O586</f>
        <v>2102139</v>
      </c>
      <c r="L586" s="132">
        <f>L587</f>
        <v>333181</v>
      </c>
      <c r="M586" s="132">
        <f>M587</f>
        <v>0</v>
      </c>
      <c r="N586" s="132">
        <f>N587</f>
        <v>0</v>
      </c>
      <c r="O586" s="132">
        <f>O587</f>
        <v>1768958</v>
      </c>
      <c r="P586" s="132">
        <f>P587</f>
        <v>1712194</v>
      </c>
      <c r="Q586" s="17">
        <f aca="true" t="shared" si="143" ref="Q586:Q603">F586+K586</f>
        <v>9569672</v>
      </c>
    </row>
    <row r="587" spans="1:17" s="4" customFormat="1" ht="63.75">
      <c r="A587" s="6" t="s">
        <v>25</v>
      </c>
      <c r="B587" s="6" t="s">
        <v>33</v>
      </c>
      <c r="C587" s="6" t="s">
        <v>613</v>
      </c>
      <c r="D587" s="6" t="s">
        <v>574</v>
      </c>
      <c r="E587" s="51" t="s">
        <v>888</v>
      </c>
      <c r="F587" s="17">
        <f t="shared" si="141"/>
        <v>7467533</v>
      </c>
      <c r="G587" s="15">
        <f>6625494+(478794)-265601-478794+1090400+17240</f>
        <v>7467533</v>
      </c>
      <c r="H587" s="15">
        <f>4522781+887318+14168</f>
        <v>5424267</v>
      </c>
      <c r="I587" s="15">
        <v>463650</v>
      </c>
      <c r="J587" s="15"/>
      <c r="K587" s="17">
        <f t="shared" si="142"/>
        <v>2102139</v>
      </c>
      <c r="L587" s="15">
        <v>333181</v>
      </c>
      <c r="M587" s="15"/>
      <c r="N587" s="15"/>
      <c r="O587" s="15">
        <f>P587+56764</f>
        <v>1768958</v>
      </c>
      <c r="P587" s="15">
        <f>1007979+704215</f>
        <v>1712194</v>
      </c>
      <c r="Q587" s="17">
        <f t="shared" si="143"/>
        <v>9569672</v>
      </c>
    </row>
    <row r="588" spans="1:17" s="4" customFormat="1" ht="12.75">
      <c r="A588" s="116" t="s">
        <v>735</v>
      </c>
      <c r="B588" s="117" t="s">
        <v>663</v>
      </c>
      <c r="C588" s="117" t="s">
        <v>1094</v>
      </c>
      <c r="D588" s="117"/>
      <c r="E588" s="124" t="s">
        <v>665</v>
      </c>
      <c r="F588" s="17">
        <f t="shared" si="141"/>
        <v>10169908</v>
      </c>
      <c r="G588" s="126">
        <f>G589+G590</f>
        <v>10169908</v>
      </c>
      <c r="H588" s="126">
        <f>H589+H590</f>
        <v>0</v>
      </c>
      <c r="I588" s="126">
        <f>I589+I590</f>
        <v>0</v>
      </c>
      <c r="J588" s="126">
        <f>J589+J590</f>
        <v>0</v>
      </c>
      <c r="K588" s="17">
        <f t="shared" si="142"/>
        <v>843837</v>
      </c>
      <c r="L588" s="126">
        <f>L589+L590</f>
        <v>0</v>
      </c>
      <c r="M588" s="126">
        <f>M589+M590</f>
        <v>0</v>
      </c>
      <c r="N588" s="126">
        <f>N589+N590</f>
        <v>0</v>
      </c>
      <c r="O588" s="126">
        <f>O589+O590</f>
        <v>843837</v>
      </c>
      <c r="P588" s="126">
        <f>P589+P590</f>
        <v>843837</v>
      </c>
      <c r="Q588" s="17">
        <f t="shared" si="143"/>
        <v>11013745</v>
      </c>
    </row>
    <row r="589" spans="1:17" s="2" customFormat="1" ht="51">
      <c r="A589" s="112" t="s">
        <v>773</v>
      </c>
      <c r="B589" s="112" t="s">
        <v>321</v>
      </c>
      <c r="C589" s="112" t="s">
        <v>1095</v>
      </c>
      <c r="D589" s="112" t="s">
        <v>606</v>
      </c>
      <c r="E589" s="113" t="s">
        <v>328</v>
      </c>
      <c r="F589" s="17">
        <f t="shared" si="141"/>
        <v>5770519</v>
      </c>
      <c r="G589" s="121">
        <f>2370519+3400000</f>
        <v>5770519</v>
      </c>
      <c r="H589" s="121"/>
      <c r="I589" s="121"/>
      <c r="J589" s="121"/>
      <c r="K589" s="17">
        <f t="shared" si="142"/>
        <v>0</v>
      </c>
      <c r="L589" s="121"/>
      <c r="M589" s="121"/>
      <c r="N589" s="121"/>
      <c r="O589" s="121"/>
      <c r="P589" s="121"/>
      <c r="Q589" s="17">
        <f t="shared" si="143"/>
        <v>5770519</v>
      </c>
    </row>
    <row r="590" spans="1:17" s="2" customFormat="1" ht="12.75">
      <c r="A590" s="7" t="s">
        <v>406</v>
      </c>
      <c r="B590" s="7" t="s">
        <v>123</v>
      </c>
      <c r="C590" s="7" t="s">
        <v>1106</v>
      </c>
      <c r="D590" s="7" t="s">
        <v>607</v>
      </c>
      <c r="E590" s="3" t="s">
        <v>125</v>
      </c>
      <c r="F590" s="17">
        <f t="shared" si="141"/>
        <v>4399389</v>
      </c>
      <c r="G590" s="18">
        <f>4624810-225421+200000-200000</f>
        <v>4399389</v>
      </c>
      <c r="H590" s="18"/>
      <c r="I590" s="18"/>
      <c r="J590" s="18"/>
      <c r="K590" s="17">
        <f t="shared" si="142"/>
        <v>843837</v>
      </c>
      <c r="L590" s="18"/>
      <c r="M590" s="18"/>
      <c r="N590" s="18"/>
      <c r="O590" s="18">
        <f>P590</f>
        <v>843837</v>
      </c>
      <c r="P590" s="18">
        <f>280000+(110000)+200758+70000+(44000)+(65000)+200000+29837+(45000)-200758</f>
        <v>843837</v>
      </c>
      <c r="Q590" s="17">
        <f t="shared" si="143"/>
        <v>5243226</v>
      </c>
    </row>
    <row r="591" spans="1:17" s="2" customFormat="1" ht="12.75">
      <c r="A591" s="112" t="s">
        <v>736</v>
      </c>
      <c r="B591" s="112" t="s">
        <v>628</v>
      </c>
      <c r="C591" s="112" t="s">
        <v>1020</v>
      </c>
      <c r="D591" s="112"/>
      <c r="E591" s="115" t="s">
        <v>630</v>
      </c>
      <c r="F591" s="17">
        <f t="shared" si="141"/>
        <v>0</v>
      </c>
      <c r="G591" s="123">
        <f>G592</f>
        <v>0</v>
      </c>
      <c r="H591" s="123">
        <f>H592</f>
        <v>0</v>
      </c>
      <c r="I591" s="123">
        <f>I592</f>
        <v>0</v>
      </c>
      <c r="J591" s="123">
        <f>J592</f>
        <v>0</v>
      </c>
      <c r="K591" s="17">
        <f t="shared" si="142"/>
        <v>12791311</v>
      </c>
      <c r="L591" s="123">
        <f>L592</f>
        <v>0</v>
      </c>
      <c r="M591" s="123">
        <f>M592</f>
        <v>0</v>
      </c>
      <c r="N591" s="123">
        <f>N592</f>
        <v>0</v>
      </c>
      <c r="O591" s="123">
        <f>O592</f>
        <v>12791311</v>
      </c>
      <c r="P591" s="123">
        <f>P592</f>
        <v>12791311</v>
      </c>
      <c r="Q591" s="17">
        <f t="shared" si="143"/>
        <v>12791311</v>
      </c>
    </row>
    <row r="592" spans="1:17" s="2" customFormat="1" ht="25.5">
      <c r="A592" s="50" t="s">
        <v>565</v>
      </c>
      <c r="B592" s="28" t="s">
        <v>87</v>
      </c>
      <c r="C592" s="50" t="s">
        <v>980</v>
      </c>
      <c r="D592" s="50" t="s">
        <v>576</v>
      </c>
      <c r="E592" s="51" t="s">
        <v>174</v>
      </c>
      <c r="F592" s="17">
        <f t="shared" si="141"/>
        <v>0</v>
      </c>
      <c r="G592" s="18"/>
      <c r="H592" s="18"/>
      <c r="I592" s="18"/>
      <c r="J592" s="18"/>
      <c r="K592" s="17">
        <f t="shared" si="142"/>
        <v>12791311</v>
      </c>
      <c r="L592" s="18"/>
      <c r="M592" s="18"/>
      <c r="N592" s="18"/>
      <c r="O592" s="18">
        <f>P592</f>
        <v>12791311</v>
      </c>
      <c r="P592" s="18">
        <f>14004778-2000000+640000-240000+240000-54225+200758</f>
        <v>12791311</v>
      </c>
      <c r="Q592" s="17">
        <f t="shared" si="143"/>
        <v>12791311</v>
      </c>
    </row>
    <row r="593" spans="1:17" s="2" customFormat="1" ht="25.5">
      <c r="A593" s="116" t="s">
        <v>738</v>
      </c>
      <c r="B593" s="116" t="s">
        <v>634</v>
      </c>
      <c r="C593" s="116" t="s">
        <v>1021</v>
      </c>
      <c r="D593" s="116"/>
      <c r="E593" s="125" t="s">
        <v>635</v>
      </c>
      <c r="F593" s="121">
        <f t="shared" si="141"/>
        <v>563436</v>
      </c>
      <c r="G593" s="121">
        <f>G594</f>
        <v>563436</v>
      </c>
      <c r="H593" s="121">
        <f>H594</f>
        <v>0</v>
      </c>
      <c r="I593" s="121">
        <f>I594</f>
        <v>0</v>
      </c>
      <c r="J593" s="121">
        <f>J594</f>
        <v>0</v>
      </c>
      <c r="K593" s="121">
        <f t="shared" si="142"/>
        <v>54225</v>
      </c>
      <c r="L593" s="121">
        <f>L594</f>
        <v>0</v>
      </c>
      <c r="M593" s="121">
        <f>M594</f>
        <v>0</v>
      </c>
      <c r="N593" s="121">
        <f>N594</f>
        <v>0</v>
      </c>
      <c r="O593" s="18">
        <f aca="true" t="shared" si="144" ref="O593:O603">P593</f>
        <v>54225</v>
      </c>
      <c r="P593" s="121">
        <f>P594</f>
        <v>54225</v>
      </c>
      <c r="Q593" s="121">
        <f t="shared" si="143"/>
        <v>617661</v>
      </c>
    </row>
    <row r="594" spans="1:17" s="2" customFormat="1" ht="12.75">
      <c r="A594" s="89" t="s">
        <v>428</v>
      </c>
      <c r="B594" s="89" t="s">
        <v>54</v>
      </c>
      <c r="C594" s="89" t="s">
        <v>1093</v>
      </c>
      <c r="D594" s="89" t="s">
        <v>577</v>
      </c>
      <c r="E594" s="99" t="s">
        <v>416</v>
      </c>
      <c r="F594" s="92">
        <f t="shared" si="141"/>
        <v>563436</v>
      </c>
      <c r="G594" s="92">
        <f>SUM(G595:G603)</f>
        <v>563436</v>
      </c>
      <c r="H594" s="92">
        <f>SUM(H595:H603)</f>
        <v>0</v>
      </c>
      <c r="I594" s="92">
        <f>SUM(I595:I603)</f>
        <v>0</v>
      </c>
      <c r="J594" s="92">
        <f>SUM(J595:J603)</f>
        <v>0</v>
      </c>
      <c r="K594" s="92">
        <f>L594+O594</f>
        <v>54225</v>
      </c>
      <c r="L594" s="92">
        <f>SUM(L595:L603)</f>
        <v>0</v>
      </c>
      <c r="M594" s="92">
        <f>SUM(M595:M603)</f>
        <v>0</v>
      </c>
      <c r="N594" s="92">
        <f>SUM(N595:N603)</f>
        <v>0</v>
      </c>
      <c r="O594" s="18">
        <f t="shared" si="144"/>
        <v>54225</v>
      </c>
      <c r="P594" s="92">
        <f>SUM(P595:P603)</f>
        <v>54225</v>
      </c>
      <c r="Q594" s="92">
        <f t="shared" si="143"/>
        <v>617661</v>
      </c>
    </row>
    <row r="595" spans="1:17" ht="49.5" customHeight="1" hidden="1">
      <c r="A595" s="59" t="s">
        <v>946</v>
      </c>
      <c r="B595" s="50" t="s">
        <v>54</v>
      </c>
      <c r="C595" s="50" t="s">
        <v>984</v>
      </c>
      <c r="D595" s="50" t="s">
        <v>577</v>
      </c>
      <c r="E595" s="48" t="s">
        <v>178</v>
      </c>
      <c r="F595" s="27">
        <f t="shared" si="141"/>
        <v>0</v>
      </c>
      <c r="G595" s="27"/>
      <c r="H595" s="27"/>
      <c r="I595" s="27"/>
      <c r="J595" s="27"/>
      <c r="K595" s="27">
        <f t="shared" si="142"/>
        <v>0</v>
      </c>
      <c r="L595" s="27"/>
      <c r="M595" s="27"/>
      <c r="N595" s="27"/>
      <c r="O595" s="18">
        <f t="shared" si="144"/>
        <v>0</v>
      </c>
      <c r="P595" s="27"/>
      <c r="Q595" s="27">
        <f t="shared" si="143"/>
        <v>0</v>
      </c>
    </row>
    <row r="596" spans="1:17" s="181" customFormat="1" ht="41.25" customHeight="1" hidden="1">
      <c r="A596" s="170" t="s">
        <v>371</v>
      </c>
      <c r="B596" s="171" t="s">
        <v>54</v>
      </c>
      <c r="C596" s="170" t="s">
        <v>985</v>
      </c>
      <c r="D596" s="170" t="s">
        <v>577</v>
      </c>
      <c r="E596" s="178" t="s">
        <v>853</v>
      </c>
      <c r="F596" s="180">
        <f t="shared" si="141"/>
        <v>442133</v>
      </c>
      <c r="G596" s="180">
        <v>442133</v>
      </c>
      <c r="H596" s="180"/>
      <c r="I596" s="180"/>
      <c r="J596" s="180"/>
      <c r="K596" s="180">
        <f t="shared" si="142"/>
        <v>0</v>
      </c>
      <c r="L596" s="180"/>
      <c r="M596" s="173"/>
      <c r="N596" s="173"/>
      <c r="O596" s="18">
        <f t="shared" si="144"/>
        <v>0</v>
      </c>
      <c r="P596" s="173"/>
      <c r="Q596" s="180">
        <f t="shared" si="143"/>
        <v>442133</v>
      </c>
    </row>
    <row r="597" spans="1:17" s="169" customFormat="1" ht="51" customHeight="1" hidden="1">
      <c r="A597" s="170" t="s">
        <v>400</v>
      </c>
      <c r="B597" s="170" t="s">
        <v>54</v>
      </c>
      <c r="C597" s="170" t="s">
        <v>986</v>
      </c>
      <c r="D597" s="170" t="s">
        <v>577</v>
      </c>
      <c r="E597" s="178" t="s">
        <v>333</v>
      </c>
      <c r="F597" s="173">
        <f t="shared" si="141"/>
        <v>43067</v>
      </c>
      <c r="G597" s="173">
        <v>43067</v>
      </c>
      <c r="H597" s="173"/>
      <c r="I597" s="173"/>
      <c r="J597" s="173"/>
      <c r="K597" s="173">
        <f t="shared" si="142"/>
        <v>0</v>
      </c>
      <c r="L597" s="173"/>
      <c r="M597" s="173"/>
      <c r="N597" s="173"/>
      <c r="O597" s="18">
        <f t="shared" si="144"/>
        <v>0</v>
      </c>
      <c r="P597" s="173"/>
      <c r="Q597" s="173">
        <f t="shared" si="143"/>
        <v>43067</v>
      </c>
    </row>
    <row r="598" spans="1:17" s="169" customFormat="1" ht="50.25" customHeight="1" hidden="1">
      <c r="A598" s="170" t="s">
        <v>947</v>
      </c>
      <c r="B598" s="170" t="s">
        <v>54</v>
      </c>
      <c r="C598" s="170" t="s">
        <v>987</v>
      </c>
      <c r="D598" s="170" t="s">
        <v>577</v>
      </c>
      <c r="E598" s="178" t="s">
        <v>479</v>
      </c>
      <c r="F598" s="173">
        <f t="shared" si="141"/>
        <v>0</v>
      </c>
      <c r="G598" s="173"/>
      <c r="H598" s="173"/>
      <c r="I598" s="173"/>
      <c r="J598" s="173"/>
      <c r="K598" s="173">
        <f t="shared" si="142"/>
        <v>0</v>
      </c>
      <c r="L598" s="173"/>
      <c r="M598" s="173"/>
      <c r="N598" s="173"/>
      <c r="O598" s="18">
        <f t="shared" si="144"/>
        <v>0</v>
      </c>
      <c r="P598" s="173"/>
      <c r="Q598" s="173">
        <f t="shared" si="143"/>
        <v>0</v>
      </c>
    </row>
    <row r="599" spans="1:17" s="169" customFormat="1" ht="53.25" customHeight="1" hidden="1">
      <c r="A599" s="170" t="s">
        <v>437</v>
      </c>
      <c r="B599" s="170" t="s">
        <v>54</v>
      </c>
      <c r="C599" s="170" t="s">
        <v>988</v>
      </c>
      <c r="D599" s="170" t="s">
        <v>577</v>
      </c>
      <c r="E599" s="178" t="s">
        <v>362</v>
      </c>
      <c r="F599" s="173">
        <f t="shared" si="141"/>
        <v>0</v>
      </c>
      <c r="G599" s="173"/>
      <c r="H599" s="173"/>
      <c r="I599" s="173"/>
      <c r="J599" s="173"/>
      <c r="K599" s="173">
        <f t="shared" si="142"/>
        <v>54225</v>
      </c>
      <c r="L599" s="173"/>
      <c r="M599" s="173"/>
      <c r="N599" s="173"/>
      <c r="O599" s="18">
        <f t="shared" si="144"/>
        <v>54225</v>
      </c>
      <c r="P599" s="173">
        <v>54225</v>
      </c>
      <c r="Q599" s="173">
        <f t="shared" si="143"/>
        <v>54225</v>
      </c>
    </row>
    <row r="600" spans="1:17" s="169" customFormat="1" ht="51" hidden="1">
      <c r="A600" s="170" t="s">
        <v>467</v>
      </c>
      <c r="B600" s="170" t="s">
        <v>54</v>
      </c>
      <c r="C600" s="170" t="s">
        <v>989</v>
      </c>
      <c r="D600" s="170" t="s">
        <v>577</v>
      </c>
      <c r="E600" s="178" t="s">
        <v>320</v>
      </c>
      <c r="F600" s="173">
        <f t="shared" si="141"/>
        <v>50000</v>
      </c>
      <c r="G600" s="173">
        <v>50000</v>
      </c>
      <c r="H600" s="173"/>
      <c r="I600" s="173"/>
      <c r="J600" s="173"/>
      <c r="K600" s="173">
        <f t="shared" si="142"/>
        <v>0</v>
      </c>
      <c r="L600" s="173"/>
      <c r="M600" s="173"/>
      <c r="N600" s="173"/>
      <c r="O600" s="18">
        <f t="shared" si="144"/>
        <v>0</v>
      </c>
      <c r="P600" s="173"/>
      <c r="Q600" s="173">
        <f t="shared" si="143"/>
        <v>50000</v>
      </c>
    </row>
    <row r="601" spans="1:17" s="169" customFormat="1" ht="102" customHeight="1" hidden="1">
      <c r="A601" s="170" t="s">
        <v>948</v>
      </c>
      <c r="B601" s="170" t="s">
        <v>54</v>
      </c>
      <c r="C601" s="170" t="s">
        <v>990</v>
      </c>
      <c r="D601" s="170" t="s">
        <v>577</v>
      </c>
      <c r="E601" s="178" t="s">
        <v>366</v>
      </c>
      <c r="F601" s="176">
        <f t="shared" si="141"/>
        <v>0</v>
      </c>
      <c r="G601" s="176"/>
      <c r="H601" s="176"/>
      <c r="I601" s="176"/>
      <c r="J601" s="176"/>
      <c r="K601" s="176">
        <f t="shared" si="142"/>
        <v>0</v>
      </c>
      <c r="L601" s="176"/>
      <c r="M601" s="176"/>
      <c r="N601" s="176"/>
      <c r="O601" s="18">
        <f t="shared" si="144"/>
        <v>0</v>
      </c>
      <c r="P601" s="176"/>
      <c r="Q601" s="176">
        <f t="shared" si="143"/>
        <v>0</v>
      </c>
    </row>
    <row r="602" spans="1:17" s="169" customFormat="1" ht="25.5" hidden="1">
      <c r="A602" s="170" t="s">
        <v>447</v>
      </c>
      <c r="B602" s="170" t="s">
        <v>54</v>
      </c>
      <c r="C602" s="170" t="s">
        <v>991</v>
      </c>
      <c r="D602" s="170" t="s">
        <v>577</v>
      </c>
      <c r="E602" s="178" t="s">
        <v>886</v>
      </c>
      <c r="F602" s="176">
        <f t="shared" si="141"/>
        <v>28236</v>
      </c>
      <c r="G602" s="176">
        <v>28236</v>
      </c>
      <c r="H602" s="176"/>
      <c r="I602" s="176"/>
      <c r="J602" s="176"/>
      <c r="K602" s="176">
        <f t="shared" si="142"/>
        <v>0</v>
      </c>
      <c r="L602" s="176"/>
      <c r="M602" s="176"/>
      <c r="N602" s="176"/>
      <c r="O602" s="18">
        <f t="shared" si="144"/>
        <v>0</v>
      </c>
      <c r="P602" s="176"/>
      <c r="Q602" s="176">
        <f t="shared" si="143"/>
        <v>28236</v>
      </c>
    </row>
    <row r="603" spans="1:17" s="169" customFormat="1" ht="15" customHeight="1" hidden="1">
      <c r="A603" s="170" t="s">
        <v>949</v>
      </c>
      <c r="B603" s="171" t="s">
        <v>54</v>
      </c>
      <c r="C603" s="170" t="s">
        <v>1131</v>
      </c>
      <c r="D603" s="170" t="s">
        <v>577</v>
      </c>
      <c r="E603" s="178" t="s">
        <v>834</v>
      </c>
      <c r="F603" s="173">
        <f t="shared" si="141"/>
        <v>0</v>
      </c>
      <c r="G603" s="173"/>
      <c r="H603" s="173"/>
      <c r="I603" s="173"/>
      <c r="J603" s="173"/>
      <c r="K603" s="173">
        <f t="shared" si="142"/>
        <v>0</v>
      </c>
      <c r="L603" s="173"/>
      <c r="M603" s="173"/>
      <c r="N603" s="173"/>
      <c r="O603" s="18">
        <f t="shared" si="144"/>
        <v>0</v>
      </c>
      <c r="P603" s="173"/>
      <c r="Q603" s="173">
        <f t="shared" si="143"/>
        <v>0</v>
      </c>
    </row>
    <row r="604" spans="1:17" s="2" customFormat="1" ht="12.75">
      <c r="A604" s="116" t="s">
        <v>737</v>
      </c>
      <c r="B604" s="117" t="s">
        <v>98</v>
      </c>
      <c r="C604" s="117" t="s">
        <v>1015</v>
      </c>
      <c r="D604" s="117"/>
      <c r="E604" s="118" t="s">
        <v>99</v>
      </c>
      <c r="F604" s="121">
        <f>G604+J604</f>
        <v>0</v>
      </c>
      <c r="G604" s="121">
        <f>G605</f>
        <v>0</v>
      </c>
      <c r="H604" s="121">
        <f aca="true" t="shared" si="145" ref="H604:J605">H605</f>
        <v>0</v>
      </c>
      <c r="I604" s="121">
        <f t="shared" si="145"/>
        <v>0</v>
      </c>
      <c r="J604" s="121">
        <f t="shared" si="145"/>
        <v>0</v>
      </c>
      <c r="K604" s="121">
        <f>L604+O604</f>
        <v>22077</v>
      </c>
      <c r="L604" s="121">
        <f aca="true" t="shared" si="146" ref="L604:P605">L605</f>
        <v>22077</v>
      </c>
      <c r="M604" s="121">
        <f t="shared" si="146"/>
        <v>0</v>
      </c>
      <c r="N604" s="121">
        <f t="shared" si="146"/>
        <v>0</v>
      </c>
      <c r="O604" s="121">
        <f t="shared" si="146"/>
        <v>0</v>
      </c>
      <c r="P604" s="121">
        <f t="shared" si="146"/>
        <v>0</v>
      </c>
      <c r="Q604" s="121">
        <f>F604+K604</f>
        <v>22077</v>
      </c>
    </row>
    <row r="605" spans="1:17" s="2" customFormat="1" ht="78" customHeight="1">
      <c r="A605" s="89" t="s">
        <v>552</v>
      </c>
      <c r="B605" s="89" t="s">
        <v>53</v>
      </c>
      <c r="C605" s="89" t="s">
        <v>992</v>
      </c>
      <c r="D605" s="89" t="s">
        <v>577</v>
      </c>
      <c r="E605" s="91" t="s">
        <v>431</v>
      </c>
      <c r="F605" s="92">
        <f>G605+J605</f>
        <v>0</v>
      </c>
      <c r="G605" s="92">
        <f>G606</f>
        <v>0</v>
      </c>
      <c r="H605" s="92">
        <f t="shared" si="145"/>
        <v>0</v>
      </c>
      <c r="I605" s="92">
        <f t="shared" si="145"/>
        <v>0</v>
      </c>
      <c r="J605" s="92">
        <f t="shared" si="145"/>
        <v>0</v>
      </c>
      <c r="K605" s="92">
        <f>L605+O605</f>
        <v>22077</v>
      </c>
      <c r="L605" s="92">
        <f t="shared" si="146"/>
        <v>22077</v>
      </c>
      <c r="M605" s="92">
        <f t="shared" si="146"/>
        <v>0</v>
      </c>
      <c r="N605" s="92">
        <f t="shared" si="146"/>
        <v>0</v>
      </c>
      <c r="O605" s="92">
        <f t="shared" si="146"/>
        <v>0</v>
      </c>
      <c r="P605" s="92">
        <f t="shared" si="146"/>
        <v>0</v>
      </c>
      <c r="Q605" s="92">
        <f>F605+K605</f>
        <v>22077</v>
      </c>
    </row>
    <row r="606" spans="1:17" s="174" customFormat="1" ht="25.5" hidden="1">
      <c r="A606" s="182" t="s">
        <v>553</v>
      </c>
      <c r="B606" s="182" t="s">
        <v>53</v>
      </c>
      <c r="C606" s="182" t="s">
        <v>993</v>
      </c>
      <c r="D606" s="182" t="s">
        <v>577</v>
      </c>
      <c r="E606" s="178" t="s">
        <v>175</v>
      </c>
      <c r="F606" s="186">
        <f>G606+J606</f>
        <v>0</v>
      </c>
      <c r="G606" s="183"/>
      <c r="H606" s="183"/>
      <c r="I606" s="183"/>
      <c r="J606" s="183"/>
      <c r="K606" s="186">
        <f>L606+O606</f>
        <v>22077</v>
      </c>
      <c r="L606" s="183">
        <f>16850+5227</f>
        <v>22077</v>
      </c>
      <c r="M606" s="183"/>
      <c r="N606" s="183"/>
      <c r="O606" s="183"/>
      <c r="P606" s="183"/>
      <c r="Q606" s="186">
        <f>F606+K606</f>
        <v>22077</v>
      </c>
    </row>
    <row r="607" spans="1:20" s="12" customFormat="1" ht="40.5" customHeight="1">
      <c r="A607" s="11" t="s">
        <v>300</v>
      </c>
      <c r="B607" s="11" t="s">
        <v>150</v>
      </c>
      <c r="C607" s="11" t="s">
        <v>150</v>
      </c>
      <c r="D607" s="11"/>
      <c r="E607" s="13" t="s">
        <v>135</v>
      </c>
      <c r="F607" s="21">
        <f>G607+J607</f>
        <v>15745748</v>
      </c>
      <c r="G607" s="21">
        <f>G608</f>
        <v>15745748</v>
      </c>
      <c r="H607" s="21">
        <f>H608</f>
        <v>5057397</v>
      </c>
      <c r="I607" s="21">
        <f>I608</f>
        <v>655097</v>
      </c>
      <c r="J607" s="21">
        <f>J608</f>
        <v>0</v>
      </c>
      <c r="K607" s="21">
        <f>L607+O607</f>
        <v>5303691</v>
      </c>
      <c r="L607" s="21">
        <f>L608</f>
        <v>216222</v>
      </c>
      <c r="M607" s="21">
        <f>M608</f>
        <v>0</v>
      </c>
      <c r="N607" s="21">
        <f>N608</f>
        <v>0</v>
      </c>
      <c r="O607" s="21">
        <f>O608</f>
        <v>5087469</v>
      </c>
      <c r="P607" s="21">
        <f>P608</f>
        <v>5087469</v>
      </c>
      <c r="Q607" s="21">
        <f>F607+K607</f>
        <v>21049439</v>
      </c>
      <c r="R607" s="192"/>
      <c r="T607" s="192">
        <f>S607-R607</f>
        <v>0</v>
      </c>
    </row>
    <row r="608" spans="1:17" s="2" customFormat="1" ht="38.25" customHeight="1">
      <c r="A608" s="7" t="s">
        <v>301</v>
      </c>
      <c r="B608" s="7"/>
      <c r="C608" s="7"/>
      <c r="D608" s="7"/>
      <c r="E608" s="3" t="s">
        <v>135</v>
      </c>
      <c r="F608" s="18">
        <f>G608+J608</f>
        <v>15745748</v>
      </c>
      <c r="G608" s="18">
        <f>G609+G611+G614+G616+G627</f>
        <v>15745748</v>
      </c>
      <c r="H608" s="18">
        <f>H609+H611+H614+H616+H627</f>
        <v>5057397</v>
      </c>
      <c r="I608" s="18">
        <f>I609+I611+I614+I616+I627</f>
        <v>655097</v>
      </c>
      <c r="J608" s="18">
        <f>J609+J611+J614+J616+J627</f>
        <v>0</v>
      </c>
      <c r="K608" s="18">
        <f>L608+O608</f>
        <v>5303691</v>
      </c>
      <c r="L608" s="18">
        <f>L609+L611+L614+L616+L627</f>
        <v>216222</v>
      </c>
      <c r="M608" s="18">
        <f>M609+M611+M614+M616+M627</f>
        <v>0</v>
      </c>
      <c r="N608" s="18">
        <f>N609+N611+N614+N616+N627</f>
        <v>0</v>
      </c>
      <c r="O608" s="18">
        <f>O609+O611+O614+O616+O627</f>
        <v>5087469</v>
      </c>
      <c r="P608" s="18">
        <f>P609+P611+P614+P616+P627</f>
        <v>5087469</v>
      </c>
      <c r="Q608" s="18">
        <f>F608+K608</f>
        <v>21049439</v>
      </c>
    </row>
    <row r="609" spans="1:17" s="2" customFormat="1" ht="12.75">
      <c r="A609" s="117" t="s">
        <v>739</v>
      </c>
      <c r="B609" s="116" t="s">
        <v>671</v>
      </c>
      <c r="C609" s="116" t="s">
        <v>972</v>
      </c>
      <c r="D609" s="116"/>
      <c r="E609" s="124" t="s">
        <v>673</v>
      </c>
      <c r="F609" s="121">
        <f aca="true" t="shared" si="147" ref="F609:F626">G609+J609</f>
        <v>8129289</v>
      </c>
      <c r="G609" s="121">
        <f>G610</f>
        <v>8129289</v>
      </c>
      <c r="H609" s="121">
        <f>H610</f>
        <v>5057397</v>
      </c>
      <c r="I609" s="121">
        <f>I610</f>
        <v>655097</v>
      </c>
      <c r="J609" s="121">
        <f>J610</f>
        <v>0</v>
      </c>
      <c r="K609" s="121">
        <f aca="true" t="shared" si="148" ref="K609:K626">L609+O609</f>
        <v>1496197</v>
      </c>
      <c r="L609" s="121">
        <f>L610</f>
        <v>159387</v>
      </c>
      <c r="M609" s="121">
        <f>M610</f>
        <v>0</v>
      </c>
      <c r="N609" s="121">
        <f>N610</f>
        <v>0</v>
      </c>
      <c r="O609" s="121">
        <f>O610</f>
        <v>1336810</v>
      </c>
      <c r="P609" s="121">
        <f>P610</f>
        <v>1336810</v>
      </c>
      <c r="Q609" s="121">
        <f aca="true" t="shared" si="149" ref="Q609:Q626">F609+K609</f>
        <v>9625486</v>
      </c>
    </row>
    <row r="610" spans="1:17" s="4" customFormat="1" ht="78" customHeight="1">
      <c r="A610" s="6" t="s">
        <v>26</v>
      </c>
      <c r="B610" s="6" t="s">
        <v>33</v>
      </c>
      <c r="C610" s="6" t="s">
        <v>613</v>
      </c>
      <c r="D610" s="6" t="s">
        <v>574</v>
      </c>
      <c r="E610" s="51" t="s">
        <v>888</v>
      </c>
      <c r="F610" s="18">
        <f t="shared" si="147"/>
        <v>8129289</v>
      </c>
      <c r="G610" s="18">
        <f>6762125+(1186861)-252871-555635+973857+14952</f>
        <v>8129289</v>
      </c>
      <c r="H610" s="18">
        <f>4234277+810808+12312</f>
        <v>5057397</v>
      </c>
      <c r="I610" s="18">
        <v>655097</v>
      </c>
      <c r="J610" s="18"/>
      <c r="K610" s="18">
        <f t="shared" si="148"/>
        <v>1496197</v>
      </c>
      <c r="L610" s="18">
        <v>159387</v>
      </c>
      <c r="M610" s="18"/>
      <c r="N610" s="18"/>
      <c r="O610" s="18">
        <f>P610</f>
        <v>1336810</v>
      </c>
      <c r="P610" s="18">
        <f>650000+386300+555635-255125</f>
        <v>1336810</v>
      </c>
      <c r="Q610" s="18">
        <f t="shared" si="149"/>
        <v>9625486</v>
      </c>
    </row>
    <row r="611" spans="1:17" s="4" customFormat="1" ht="12.75">
      <c r="A611" s="116" t="s">
        <v>740</v>
      </c>
      <c r="B611" s="117" t="s">
        <v>663</v>
      </c>
      <c r="C611" s="117" t="s">
        <v>1094</v>
      </c>
      <c r="D611" s="117"/>
      <c r="E611" s="118" t="s">
        <v>665</v>
      </c>
      <c r="F611" s="121">
        <f t="shared" si="147"/>
        <v>7357649</v>
      </c>
      <c r="G611" s="121">
        <f>G612+G613</f>
        <v>7357649</v>
      </c>
      <c r="H611" s="121">
        <f>H612+H613</f>
        <v>0</v>
      </c>
      <c r="I611" s="121">
        <f>I612+I613</f>
        <v>0</v>
      </c>
      <c r="J611" s="121">
        <f>J612+J613</f>
        <v>0</v>
      </c>
      <c r="K611" s="121">
        <f t="shared" si="148"/>
        <v>393379</v>
      </c>
      <c r="L611" s="121">
        <f>L612+L613</f>
        <v>0</v>
      </c>
      <c r="M611" s="121">
        <f>M612+M613</f>
        <v>0</v>
      </c>
      <c r="N611" s="121">
        <f>N612+N613</f>
        <v>0</v>
      </c>
      <c r="O611" s="121">
        <f>O612+O613</f>
        <v>393379</v>
      </c>
      <c r="P611" s="121">
        <f>P612+P613</f>
        <v>393379</v>
      </c>
      <c r="Q611" s="121">
        <f t="shared" si="149"/>
        <v>7751028</v>
      </c>
    </row>
    <row r="612" spans="1:17" s="2" customFormat="1" ht="51">
      <c r="A612" s="112" t="s">
        <v>774</v>
      </c>
      <c r="B612" s="112" t="s">
        <v>321</v>
      </c>
      <c r="C612" s="112" t="s">
        <v>1095</v>
      </c>
      <c r="D612" s="112" t="s">
        <v>606</v>
      </c>
      <c r="E612" s="113" t="s">
        <v>328</v>
      </c>
      <c r="F612" s="121">
        <f t="shared" si="147"/>
        <v>4224120</v>
      </c>
      <c r="G612" s="121">
        <f>1666639-42519+2600000</f>
        <v>4224120</v>
      </c>
      <c r="H612" s="121"/>
      <c r="I612" s="121"/>
      <c r="J612" s="121"/>
      <c r="K612" s="121">
        <f t="shared" si="148"/>
        <v>0</v>
      </c>
      <c r="L612" s="121"/>
      <c r="M612" s="121"/>
      <c r="N612" s="121"/>
      <c r="O612" s="121"/>
      <c r="P612" s="121"/>
      <c r="Q612" s="121">
        <f t="shared" si="149"/>
        <v>4224120</v>
      </c>
    </row>
    <row r="613" spans="1:18" s="2" customFormat="1" ht="12.75">
      <c r="A613" s="7" t="s">
        <v>407</v>
      </c>
      <c r="B613" s="7" t="s">
        <v>123</v>
      </c>
      <c r="C613" s="7" t="s">
        <v>1106</v>
      </c>
      <c r="D613" s="7" t="s">
        <v>607</v>
      </c>
      <c r="E613" s="3" t="s">
        <v>125</v>
      </c>
      <c r="F613" s="18">
        <f t="shared" si="147"/>
        <v>3133529</v>
      </c>
      <c r="G613" s="18">
        <f>1839336+376960+42519+29980+270125+275045+250000+(49564)</f>
        <v>3133529</v>
      </c>
      <c r="H613" s="18"/>
      <c r="I613" s="18"/>
      <c r="J613" s="18"/>
      <c r="K613" s="18">
        <f t="shared" si="148"/>
        <v>393379</v>
      </c>
      <c r="L613" s="18"/>
      <c r="M613" s="18"/>
      <c r="N613" s="18"/>
      <c r="O613" s="18">
        <f>P613</f>
        <v>393379</v>
      </c>
      <c r="P613" s="18">
        <f>59000+200000+70592+107100+13600+27279-13600-70592</f>
        <v>393379</v>
      </c>
      <c r="Q613" s="18">
        <f t="shared" si="149"/>
        <v>3526908</v>
      </c>
      <c r="R613" s="191"/>
    </row>
    <row r="614" spans="1:17" s="2" customFormat="1" ht="12.75">
      <c r="A614" s="116" t="s">
        <v>743</v>
      </c>
      <c r="B614" s="116" t="s">
        <v>628</v>
      </c>
      <c r="C614" s="116" t="s">
        <v>1020</v>
      </c>
      <c r="D614" s="116"/>
      <c r="E614" s="124" t="s">
        <v>630</v>
      </c>
      <c r="F614" s="121">
        <f t="shared" si="147"/>
        <v>0</v>
      </c>
      <c r="G614" s="121">
        <f>G615</f>
        <v>0</v>
      </c>
      <c r="H614" s="121">
        <f>H615</f>
        <v>0</v>
      </c>
      <c r="I614" s="121">
        <f>I615</f>
        <v>0</v>
      </c>
      <c r="J614" s="121">
        <f>J615</f>
        <v>0</v>
      </c>
      <c r="K614" s="121">
        <f t="shared" si="148"/>
        <v>3357280</v>
      </c>
      <c r="L614" s="121">
        <f>L615</f>
        <v>0</v>
      </c>
      <c r="M614" s="121">
        <f>M615</f>
        <v>0</v>
      </c>
      <c r="N614" s="121">
        <f>N615</f>
        <v>0</v>
      </c>
      <c r="O614" s="121">
        <f>O615</f>
        <v>3357280</v>
      </c>
      <c r="P614" s="121">
        <f>P615</f>
        <v>3357280</v>
      </c>
      <c r="Q614" s="121">
        <f t="shared" si="149"/>
        <v>3357280</v>
      </c>
    </row>
    <row r="615" spans="1:17" s="2" customFormat="1" ht="25.5">
      <c r="A615" s="7" t="s">
        <v>304</v>
      </c>
      <c r="B615" s="7" t="s">
        <v>87</v>
      </c>
      <c r="C615" s="7" t="s">
        <v>980</v>
      </c>
      <c r="D615" s="7" t="s">
        <v>576</v>
      </c>
      <c r="E615" s="48" t="s">
        <v>174</v>
      </c>
      <c r="F615" s="18">
        <f t="shared" si="147"/>
        <v>0</v>
      </c>
      <c r="G615" s="18"/>
      <c r="H615" s="18"/>
      <c r="I615" s="18"/>
      <c r="J615" s="18"/>
      <c r="K615" s="18">
        <f t="shared" si="148"/>
        <v>3357280</v>
      </c>
      <c r="L615" s="18"/>
      <c r="M615" s="18"/>
      <c r="N615" s="18"/>
      <c r="O615" s="18">
        <f>P615</f>
        <v>3357280</v>
      </c>
      <c r="P615" s="18">
        <f>4809114+147000+87766-2000000+229208+84192</f>
        <v>3357280</v>
      </c>
      <c r="Q615" s="18">
        <f t="shared" si="149"/>
        <v>3357280</v>
      </c>
    </row>
    <row r="616" spans="1:17" s="2" customFormat="1" ht="25.5">
      <c r="A616" s="116" t="s">
        <v>742</v>
      </c>
      <c r="B616" s="116" t="s">
        <v>634</v>
      </c>
      <c r="C616" s="116" t="s">
        <v>1021</v>
      </c>
      <c r="D616" s="116"/>
      <c r="E616" s="125" t="s">
        <v>635</v>
      </c>
      <c r="F616" s="121">
        <f t="shared" si="147"/>
        <v>258810</v>
      </c>
      <c r="G616" s="121">
        <f>G617</f>
        <v>258810</v>
      </c>
      <c r="H616" s="121">
        <f>H617</f>
        <v>0</v>
      </c>
      <c r="I616" s="121">
        <f>I617</f>
        <v>0</v>
      </c>
      <c r="J616" s="121">
        <f>J617</f>
        <v>0</v>
      </c>
      <c r="K616" s="121">
        <f t="shared" si="148"/>
        <v>0</v>
      </c>
      <c r="L616" s="121">
        <f>L617</f>
        <v>0</v>
      </c>
      <c r="M616" s="121">
        <f>M617</f>
        <v>0</v>
      </c>
      <c r="N616" s="121">
        <f>N617</f>
        <v>0</v>
      </c>
      <c r="O616" s="121">
        <f>O617</f>
        <v>0</v>
      </c>
      <c r="P616" s="121">
        <f>P617</f>
        <v>0</v>
      </c>
      <c r="Q616" s="121">
        <f t="shared" si="149"/>
        <v>258810</v>
      </c>
    </row>
    <row r="617" spans="1:17" s="2" customFormat="1" ht="12.75">
      <c r="A617" s="89" t="s">
        <v>429</v>
      </c>
      <c r="B617" s="89" t="s">
        <v>54</v>
      </c>
      <c r="C617" s="89" t="s">
        <v>1093</v>
      </c>
      <c r="D617" s="89" t="s">
        <v>577</v>
      </c>
      <c r="E617" s="99" t="s">
        <v>416</v>
      </c>
      <c r="F617" s="92">
        <f t="shared" si="147"/>
        <v>258810</v>
      </c>
      <c r="G617" s="92">
        <f>SUM(G618:G626)</f>
        <v>258810</v>
      </c>
      <c r="H617" s="92">
        <f>SUM(H618:H626)</f>
        <v>0</v>
      </c>
      <c r="I617" s="92">
        <f>SUM(I618:I626)</f>
        <v>0</v>
      </c>
      <c r="J617" s="92">
        <f>SUM(J618:J626)</f>
        <v>0</v>
      </c>
      <c r="K617" s="92">
        <f t="shared" si="148"/>
        <v>0</v>
      </c>
      <c r="L617" s="92">
        <f>SUM(L618:L626)</f>
        <v>0</v>
      </c>
      <c r="M617" s="92">
        <f>SUM(M618:M626)</f>
        <v>0</v>
      </c>
      <c r="N617" s="92">
        <f>SUM(N618:N626)</f>
        <v>0</v>
      </c>
      <c r="O617" s="92">
        <f>SUM(O618:O626)</f>
        <v>0</v>
      </c>
      <c r="P617" s="92">
        <f>SUM(P618:P626)</f>
        <v>0</v>
      </c>
      <c r="Q617" s="92">
        <f t="shared" si="149"/>
        <v>258810</v>
      </c>
    </row>
    <row r="618" spans="1:17" ht="56.25" customHeight="1" hidden="1">
      <c r="A618" s="59" t="s">
        <v>950</v>
      </c>
      <c r="B618" s="50" t="s">
        <v>54</v>
      </c>
      <c r="C618" s="50" t="s">
        <v>984</v>
      </c>
      <c r="D618" s="50" t="s">
        <v>577</v>
      </c>
      <c r="E618" s="48" t="s">
        <v>178</v>
      </c>
      <c r="F618" s="27">
        <f t="shared" si="147"/>
        <v>0</v>
      </c>
      <c r="G618" s="27"/>
      <c r="H618" s="27"/>
      <c r="I618" s="27"/>
      <c r="J618" s="27"/>
      <c r="K618" s="27">
        <f t="shared" si="148"/>
        <v>0</v>
      </c>
      <c r="L618" s="27"/>
      <c r="M618" s="27"/>
      <c r="N618" s="27"/>
      <c r="O618" s="27"/>
      <c r="P618" s="27"/>
      <c r="Q618" s="27">
        <f t="shared" si="149"/>
        <v>0</v>
      </c>
    </row>
    <row r="619" spans="1:17" s="181" customFormat="1" ht="41.25" customHeight="1" hidden="1">
      <c r="A619" s="170" t="s">
        <v>372</v>
      </c>
      <c r="B619" s="171" t="s">
        <v>54</v>
      </c>
      <c r="C619" s="170" t="s">
        <v>985</v>
      </c>
      <c r="D619" s="170" t="s">
        <v>577</v>
      </c>
      <c r="E619" s="178" t="s">
        <v>853</v>
      </c>
      <c r="F619" s="180">
        <f t="shared" si="147"/>
        <v>128000</v>
      </c>
      <c r="G619" s="180">
        <v>128000</v>
      </c>
      <c r="H619" s="180"/>
      <c r="I619" s="180"/>
      <c r="J619" s="180"/>
      <c r="K619" s="180">
        <f t="shared" si="148"/>
        <v>0</v>
      </c>
      <c r="L619" s="180"/>
      <c r="M619" s="180"/>
      <c r="N619" s="180"/>
      <c r="O619" s="180"/>
      <c r="P619" s="180"/>
      <c r="Q619" s="180">
        <f t="shared" si="149"/>
        <v>128000</v>
      </c>
    </row>
    <row r="620" spans="1:17" s="169" customFormat="1" ht="51" customHeight="1" hidden="1">
      <c r="A620" s="170" t="s">
        <v>401</v>
      </c>
      <c r="B620" s="170" t="s">
        <v>54</v>
      </c>
      <c r="C620" s="170" t="s">
        <v>986</v>
      </c>
      <c r="D620" s="170" t="s">
        <v>577</v>
      </c>
      <c r="E620" s="178" t="s">
        <v>333</v>
      </c>
      <c r="F620" s="173">
        <f t="shared" si="147"/>
        <v>34052</v>
      </c>
      <c r="G620" s="173">
        <v>34052</v>
      </c>
      <c r="H620" s="173"/>
      <c r="I620" s="173"/>
      <c r="J620" s="173"/>
      <c r="K620" s="173">
        <f t="shared" si="148"/>
        <v>0</v>
      </c>
      <c r="L620" s="173"/>
      <c r="M620" s="173"/>
      <c r="N620" s="173"/>
      <c r="O620" s="173"/>
      <c r="P620" s="173"/>
      <c r="Q620" s="173">
        <f t="shared" si="149"/>
        <v>34052</v>
      </c>
    </row>
    <row r="621" spans="1:17" s="169" customFormat="1" ht="50.25" customHeight="1" hidden="1">
      <c r="A621" s="170" t="s">
        <v>951</v>
      </c>
      <c r="B621" s="170" t="s">
        <v>54</v>
      </c>
      <c r="C621" s="170" t="s">
        <v>987</v>
      </c>
      <c r="D621" s="170" t="s">
        <v>577</v>
      </c>
      <c r="E621" s="178" t="s">
        <v>479</v>
      </c>
      <c r="F621" s="173">
        <f t="shared" si="147"/>
        <v>0</v>
      </c>
      <c r="G621" s="173"/>
      <c r="H621" s="173"/>
      <c r="I621" s="173"/>
      <c r="J621" s="173"/>
      <c r="K621" s="173">
        <f t="shared" si="148"/>
        <v>0</v>
      </c>
      <c r="L621" s="173"/>
      <c r="M621" s="173"/>
      <c r="N621" s="173"/>
      <c r="O621" s="173"/>
      <c r="P621" s="173"/>
      <c r="Q621" s="173">
        <f t="shared" si="149"/>
        <v>0</v>
      </c>
    </row>
    <row r="622" spans="1:17" s="169" customFormat="1" ht="53.25" customHeight="1" hidden="1">
      <c r="A622" s="170" t="s">
        <v>470</v>
      </c>
      <c r="B622" s="170" t="s">
        <v>54</v>
      </c>
      <c r="C622" s="170" t="s">
        <v>988</v>
      </c>
      <c r="D622" s="170" t="s">
        <v>577</v>
      </c>
      <c r="E622" s="178" t="s">
        <v>362</v>
      </c>
      <c r="F622" s="173">
        <f t="shared" si="147"/>
        <v>0</v>
      </c>
      <c r="G622" s="173"/>
      <c r="H622" s="173"/>
      <c r="I622" s="173"/>
      <c r="J622" s="173"/>
      <c r="K622" s="173">
        <f t="shared" si="148"/>
        <v>0</v>
      </c>
      <c r="L622" s="173"/>
      <c r="M622" s="173"/>
      <c r="N622" s="173"/>
      <c r="O622" s="173"/>
      <c r="P622" s="173"/>
      <c r="Q622" s="173">
        <f t="shared" si="149"/>
        <v>0</v>
      </c>
    </row>
    <row r="623" spans="1:17" s="169" customFormat="1" ht="51" hidden="1">
      <c r="A623" s="170" t="s">
        <v>468</v>
      </c>
      <c r="B623" s="170" t="s">
        <v>54</v>
      </c>
      <c r="C623" s="170" t="s">
        <v>989</v>
      </c>
      <c r="D623" s="170" t="s">
        <v>577</v>
      </c>
      <c r="E623" s="178" t="s">
        <v>320</v>
      </c>
      <c r="F623" s="173">
        <f t="shared" si="147"/>
        <v>54168</v>
      </c>
      <c r="G623" s="173">
        <v>54168</v>
      </c>
      <c r="H623" s="173"/>
      <c r="I623" s="173"/>
      <c r="J623" s="173"/>
      <c r="K623" s="173">
        <f t="shared" si="148"/>
        <v>0</v>
      </c>
      <c r="L623" s="173"/>
      <c r="M623" s="173"/>
      <c r="N623" s="173"/>
      <c r="O623" s="173"/>
      <c r="P623" s="173"/>
      <c r="Q623" s="173">
        <f t="shared" si="149"/>
        <v>54168</v>
      </c>
    </row>
    <row r="624" spans="1:17" s="169" customFormat="1" ht="102" customHeight="1" hidden="1">
      <c r="A624" s="170" t="s">
        <v>952</v>
      </c>
      <c r="B624" s="170" t="s">
        <v>54</v>
      </c>
      <c r="C624" s="170" t="s">
        <v>990</v>
      </c>
      <c r="D624" s="170" t="s">
        <v>577</v>
      </c>
      <c r="E624" s="178" t="s">
        <v>366</v>
      </c>
      <c r="F624" s="176">
        <f t="shared" si="147"/>
        <v>0</v>
      </c>
      <c r="G624" s="176"/>
      <c r="H624" s="176"/>
      <c r="I624" s="176"/>
      <c r="J624" s="176"/>
      <c r="K624" s="176">
        <f t="shared" si="148"/>
        <v>0</v>
      </c>
      <c r="L624" s="176"/>
      <c r="M624" s="176"/>
      <c r="N624" s="176"/>
      <c r="O624" s="176"/>
      <c r="P624" s="176"/>
      <c r="Q624" s="176">
        <f t="shared" si="149"/>
        <v>0</v>
      </c>
    </row>
    <row r="625" spans="1:17" s="169" customFormat="1" ht="25.5" hidden="1">
      <c r="A625" s="170" t="s">
        <v>448</v>
      </c>
      <c r="B625" s="170" t="s">
        <v>54</v>
      </c>
      <c r="C625" s="170" t="s">
        <v>991</v>
      </c>
      <c r="D625" s="170" t="s">
        <v>577</v>
      </c>
      <c r="E625" s="178" t="s">
        <v>886</v>
      </c>
      <c r="F625" s="176">
        <f t="shared" si="147"/>
        <v>42590</v>
      </c>
      <c r="G625" s="176">
        <v>42590</v>
      </c>
      <c r="H625" s="176"/>
      <c r="I625" s="176"/>
      <c r="J625" s="176"/>
      <c r="K625" s="176">
        <f t="shared" si="148"/>
        <v>0</v>
      </c>
      <c r="L625" s="176"/>
      <c r="M625" s="176"/>
      <c r="N625" s="176"/>
      <c r="O625" s="176"/>
      <c r="P625" s="176"/>
      <c r="Q625" s="176">
        <f t="shared" si="149"/>
        <v>42590</v>
      </c>
    </row>
    <row r="626" spans="1:17" s="169" customFormat="1" ht="15" customHeight="1" hidden="1">
      <c r="A626" s="170" t="s">
        <v>953</v>
      </c>
      <c r="B626" s="171" t="s">
        <v>54</v>
      </c>
      <c r="C626" s="170" t="s">
        <v>1131</v>
      </c>
      <c r="D626" s="170" t="s">
        <v>577</v>
      </c>
      <c r="E626" s="178" t="s">
        <v>834</v>
      </c>
      <c r="F626" s="173">
        <f t="shared" si="147"/>
        <v>0</v>
      </c>
      <c r="G626" s="173"/>
      <c r="H626" s="173"/>
      <c r="I626" s="173"/>
      <c r="J626" s="173"/>
      <c r="K626" s="173">
        <f t="shared" si="148"/>
        <v>0</v>
      </c>
      <c r="L626" s="173"/>
      <c r="M626" s="173"/>
      <c r="N626" s="173"/>
      <c r="O626" s="173"/>
      <c r="P626" s="173"/>
      <c r="Q626" s="173">
        <f t="shared" si="149"/>
        <v>0</v>
      </c>
    </row>
    <row r="627" spans="1:17" s="2" customFormat="1" ht="12.75">
      <c r="A627" s="116" t="s">
        <v>741</v>
      </c>
      <c r="B627" s="117" t="s">
        <v>98</v>
      </c>
      <c r="C627" s="117" t="s">
        <v>1015</v>
      </c>
      <c r="D627" s="117"/>
      <c r="E627" s="125" t="s">
        <v>99</v>
      </c>
      <c r="F627" s="121">
        <f>G627+J627</f>
        <v>0</v>
      </c>
      <c r="G627" s="121">
        <f>G628</f>
        <v>0</v>
      </c>
      <c r="H627" s="121">
        <f aca="true" t="shared" si="150" ref="H627:J628">H628</f>
        <v>0</v>
      </c>
      <c r="I627" s="121">
        <f t="shared" si="150"/>
        <v>0</v>
      </c>
      <c r="J627" s="121">
        <f t="shared" si="150"/>
        <v>0</v>
      </c>
      <c r="K627" s="121">
        <f>L627+O627</f>
        <v>56835</v>
      </c>
      <c r="L627" s="121">
        <f aca="true" t="shared" si="151" ref="L627:P628">L628</f>
        <v>56835</v>
      </c>
      <c r="M627" s="121">
        <f t="shared" si="151"/>
        <v>0</v>
      </c>
      <c r="N627" s="121">
        <f t="shared" si="151"/>
        <v>0</v>
      </c>
      <c r="O627" s="121">
        <f t="shared" si="151"/>
        <v>0</v>
      </c>
      <c r="P627" s="121">
        <f t="shared" si="151"/>
        <v>0</v>
      </c>
      <c r="Q627" s="121">
        <f>F627+K627</f>
        <v>56835</v>
      </c>
    </row>
    <row r="628" spans="1:17" s="2" customFormat="1" ht="52.5" customHeight="1">
      <c r="A628" s="89" t="s">
        <v>554</v>
      </c>
      <c r="B628" s="89" t="s">
        <v>53</v>
      </c>
      <c r="C628" s="89" t="s">
        <v>992</v>
      </c>
      <c r="D628" s="89" t="s">
        <v>577</v>
      </c>
      <c r="E628" s="99" t="s">
        <v>431</v>
      </c>
      <c r="F628" s="92">
        <f>G628+J628</f>
        <v>0</v>
      </c>
      <c r="G628" s="92">
        <f>G629</f>
        <v>0</v>
      </c>
      <c r="H628" s="92">
        <f t="shared" si="150"/>
        <v>0</v>
      </c>
      <c r="I628" s="92">
        <f t="shared" si="150"/>
        <v>0</v>
      </c>
      <c r="J628" s="92">
        <f t="shared" si="150"/>
        <v>0</v>
      </c>
      <c r="K628" s="92">
        <f>L628+O628</f>
        <v>56835</v>
      </c>
      <c r="L628" s="92">
        <f t="shared" si="151"/>
        <v>56835</v>
      </c>
      <c r="M628" s="92">
        <f t="shared" si="151"/>
        <v>0</v>
      </c>
      <c r="N628" s="92">
        <f t="shared" si="151"/>
        <v>0</v>
      </c>
      <c r="O628" s="92">
        <f t="shared" si="151"/>
        <v>0</v>
      </c>
      <c r="P628" s="92">
        <f t="shared" si="151"/>
        <v>0</v>
      </c>
      <c r="Q628" s="92">
        <f>F628+K628</f>
        <v>56835</v>
      </c>
    </row>
    <row r="629" spans="1:17" s="174" customFormat="1" ht="25.5" hidden="1">
      <c r="A629" s="182" t="s">
        <v>555</v>
      </c>
      <c r="B629" s="182" t="s">
        <v>53</v>
      </c>
      <c r="C629" s="182" t="s">
        <v>993</v>
      </c>
      <c r="D629" s="182" t="s">
        <v>577</v>
      </c>
      <c r="E629" s="178" t="s">
        <v>175</v>
      </c>
      <c r="F629" s="183">
        <f>G629+J629</f>
        <v>0</v>
      </c>
      <c r="G629" s="183"/>
      <c r="H629" s="183"/>
      <c r="I629" s="183"/>
      <c r="J629" s="183"/>
      <c r="K629" s="183">
        <f>L629+O629</f>
        <v>56835</v>
      </c>
      <c r="L629" s="183">
        <f>50000+6835</f>
        <v>56835</v>
      </c>
      <c r="M629" s="183"/>
      <c r="N629" s="183"/>
      <c r="O629" s="183"/>
      <c r="P629" s="183"/>
      <c r="Q629" s="183">
        <f>F629+K629</f>
        <v>56835</v>
      </c>
    </row>
    <row r="630" spans="1:18" s="12" customFormat="1" ht="39" customHeight="1">
      <c r="A630" s="11" t="s">
        <v>302</v>
      </c>
      <c r="B630" s="11" t="s">
        <v>151</v>
      </c>
      <c r="C630" s="11" t="s">
        <v>151</v>
      </c>
      <c r="D630" s="11"/>
      <c r="E630" s="13" t="s">
        <v>136</v>
      </c>
      <c r="F630" s="21">
        <f>G630+J630</f>
        <v>20731624</v>
      </c>
      <c r="G630" s="21">
        <f>G631</f>
        <v>20731624</v>
      </c>
      <c r="H630" s="21">
        <f>H631</f>
        <v>5555468</v>
      </c>
      <c r="I630" s="21">
        <f>I631</f>
        <v>457532</v>
      </c>
      <c r="J630" s="21">
        <f>J631</f>
        <v>0</v>
      </c>
      <c r="K630" s="21">
        <f>L630+O630</f>
        <v>6951293</v>
      </c>
      <c r="L630" s="21">
        <f>L631</f>
        <v>45516</v>
      </c>
      <c r="M630" s="21">
        <f>M631</f>
        <v>0</v>
      </c>
      <c r="N630" s="21">
        <f>N631</f>
        <v>0</v>
      </c>
      <c r="O630" s="21">
        <f>O631</f>
        <v>6905777</v>
      </c>
      <c r="P630" s="21">
        <f>P631</f>
        <v>6855769</v>
      </c>
      <c r="Q630" s="21">
        <f>F630+K630</f>
        <v>27682917</v>
      </c>
      <c r="R630" s="192"/>
    </row>
    <row r="631" spans="1:17" s="2" customFormat="1" ht="38.25">
      <c r="A631" s="7" t="s">
        <v>303</v>
      </c>
      <c r="B631" s="7"/>
      <c r="C631" s="7"/>
      <c r="D631" s="7"/>
      <c r="E631" s="3" t="s">
        <v>136</v>
      </c>
      <c r="F631" s="18">
        <f>G631+J631</f>
        <v>20731624</v>
      </c>
      <c r="G631" s="18">
        <f>G632+G634+G637+G639+G650</f>
        <v>20731624</v>
      </c>
      <c r="H631" s="18">
        <f>H632+H634+H637+H639+H650</f>
        <v>5555468</v>
      </c>
      <c r="I631" s="18">
        <f>I632+I634+I637+I639+I650</f>
        <v>457532</v>
      </c>
      <c r="J631" s="18">
        <f>J632+J634+J637+J639+J650</f>
        <v>0</v>
      </c>
      <c r="K631" s="18">
        <f>L631+O631</f>
        <v>6951293</v>
      </c>
      <c r="L631" s="18">
        <f>L632+L634+L637+L639+L650</f>
        <v>45516</v>
      </c>
      <c r="M631" s="18">
        <f>M632+M634+M637+M639+M650</f>
        <v>0</v>
      </c>
      <c r="N631" s="18">
        <f>N632+N634+N637+N639+N650</f>
        <v>0</v>
      </c>
      <c r="O631" s="18">
        <f>O632+O634+O637+O639+O650</f>
        <v>6905777</v>
      </c>
      <c r="P631" s="18">
        <f>P632+P634+P637+P639+P650</f>
        <v>6855769</v>
      </c>
      <c r="Q631" s="18">
        <f>F631+K631</f>
        <v>27682917</v>
      </c>
    </row>
    <row r="632" spans="1:17" s="2" customFormat="1" ht="12.75">
      <c r="A632" s="117" t="s">
        <v>744</v>
      </c>
      <c r="B632" s="116" t="s">
        <v>671</v>
      </c>
      <c r="C632" s="116" t="s">
        <v>972</v>
      </c>
      <c r="D632" s="116"/>
      <c r="E632" s="124" t="s">
        <v>673</v>
      </c>
      <c r="F632" s="121">
        <f aca="true" t="shared" si="152" ref="F632:F649">G632+J632</f>
        <v>9859247</v>
      </c>
      <c r="G632" s="121">
        <f>G633</f>
        <v>9859247</v>
      </c>
      <c r="H632" s="121">
        <f>H633</f>
        <v>5555468</v>
      </c>
      <c r="I632" s="121">
        <f>I633</f>
        <v>457532</v>
      </c>
      <c r="J632" s="121">
        <f>J633</f>
        <v>0</v>
      </c>
      <c r="K632" s="121">
        <f aca="true" t="shared" si="153" ref="K632:K649">L632+O632</f>
        <v>2218742</v>
      </c>
      <c r="L632" s="121">
        <f>L633</f>
        <v>45516</v>
      </c>
      <c r="M632" s="121">
        <f>M633</f>
        <v>0</v>
      </c>
      <c r="N632" s="121">
        <f>N633</f>
        <v>0</v>
      </c>
      <c r="O632" s="121">
        <f>O633</f>
        <v>2173226</v>
      </c>
      <c r="P632" s="121">
        <f>P633</f>
        <v>2173226</v>
      </c>
      <c r="Q632" s="121">
        <f aca="true" t="shared" si="154" ref="Q632:Q649">F632+K632</f>
        <v>12077989</v>
      </c>
    </row>
    <row r="633" spans="1:17" s="4" customFormat="1" ht="63.75">
      <c r="A633" s="6" t="s">
        <v>27</v>
      </c>
      <c r="B633" s="6" t="s">
        <v>33</v>
      </c>
      <c r="C633" s="6" t="s">
        <v>613</v>
      </c>
      <c r="D633" s="6" t="s">
        <v>574</v>
      </c>
      <c r="E633" s="51" t="s">
        <v>888</v>
      </c>
      <c r="F633" s="16">
        <f t="shared" si="152"/>
        <v>9859247</v>
      </c>
      <c r="G633" s="16">
        <f>6735414+(3084484)-265601-860178+1148891+16237</f>
        <v>9859247</v>
      </c>
      <c r="H633" s="16">
        <f>4572369+969621+13478</f>
        <v>5555468</v>
      </c>
      <c r="I633" s="16">
        <v>457532</v>
      </c>
      <c r="J633" s="16"/>
      <c r="K633" s="16">
        <f t="shared" si="153"/>
        <v>2218742</v>
      </c>
      <c r="L633" s="16">
        <v>45516</v>
      </c>
      <c r="M633" s="16"/>
      <c r="N633" s="16"/>
      <c r="O633" s="16">
        <f>P633</f>
        <v>2173226</v>
      </c>
      <c r="P633" s="18">
        <f>946048+860178+367000</f>
        <v>2173226</v>
      </c>
      <c r="Q633" s="16">
        <f t="shared" si="154"/>
        <v>12077989</v>
      </c>
    </row>
    <row r="634" spans="1:17" s="4" customFormat="1" ht="12.75">
      <c r="A634" s="116" t="s">
        <v>745</v>
      </c>
      <c r="B634" s="117" t="s">
        <v>663</v>
      </c>
      <c r="C634" s="117" t="s">
        <v>1094</v>
      </c>
      <c r="D634" s="117"/>
      <c r="E634" s="118" t="s">
        <v>665</v>
      </c>
      <c r="F634" s="119">
        <f t="shared" si="152"/>
        <v>10562888</v>
      </c>
      <c r="G634" s="119">
        <f>G635+G636</f>
        <v>10562888</v>
      </c>
      <c r="H634" s="119">
        <f>H635+H636</f>
        <v>0</v>
      </c>
      <c r="I634" s="119">
        <f>I635+I636</f>
        <v>0</v>
      </c>
      <c r="J634" s="119">
        <f>J635+J636</f>
        <v>0</v>
      </c>
      <c r="K634" s="119">
        <f t="shared" si="153"/>
        <v>162624</v>
      </c>
      <c r="L634" s="119">
        <f>L635+L636</f>
        <v>0</v>
      </c>
      <c r="M634" s="119">
        <f>M635+M636</f>
        <v>0</v>
      </c>
      <c r="N634" s="119">
        <f>N635+N636</f>
        <v>0</v>
      </c>
      <c r="O634" s="119">
        <f>O635+O636</f>
        <v>162624</v>
      </c>
      <c r="P634" s="119">
        <f>P635+P636</f>
        <v>162624</v>
      </c>
      <c r="Q634" s="119">
        <f t="shared" si="154"/>
        <v>10725512</v>
      </c>
    </row>
    <row r="635" spans="1:17" s="2" customFormat="1" ht="51">
      <c r="A635" s="112" t="s">
        <v>775</v>
      </c>
      <c r="B635" s="112" t="s">
        <v>321</v>
      </c>
      <c r="C635" s="112" t="s">
        <v>1095</v>
      </c>
      <c r="D635" s="112" t="s">
        <v>606</v>
      </c>
      <c r="E635" s="113" t="s">
        <v>328</v>
      </c>
      <c r="F635" s="121">
        <f t="shared" si="152"/>
        <v>4943951</v>
      </c>
      <c r="G635" s="121">
        <f>3949783-5832+1000000</f>
        <v>4943951</v>
      </c>
      <c r="H635" s="121"/>
      <c r="I635" s="121"/>
      <c r="J635" s="121"/>
      <c r="K635" s="121">
        <f t="shared" si="153"/>
        <v>0</v>
      </c>
      <c r="L635" s="121"/>
      <c r="M635" s="121"/>
      <c r="N635" s="121"/>
      <c r="O635" s="121"/>
      <c r="P635" s="121"/>
      <c r="Q635" s="121">
        <f t="shared" si="154"/>
        <v>4943951</v>
      </c>
    </row>
    <row r="636" spans="1:17" s="2" customFormat="1" ht="12.75">
      <c r="A636" s="7" t="s">
        <v>408</v>
      </c>
      <c r="B636" s="7" t="s">
        <v>123</v>
      </c>
      <c r="C636" s="7" t="s">
        <v>1106</v>
      </c>
      <c r="D636" s="7" t="s">
        <v>607</v>
      </c>
      <c r="E636" s="3" t="s">
        <v>125</v>
      </c>
      <c r="F636" s="18">
        <f t="shared" si="152"/>
        <v>5618937</v>
      </c>
      <c r="G636" s="18">
        <f>4935463+10000+673474</f>
        <v>5618937</v>
      </c>
      <c r="H636" s="18"/>
      <c r="I636" s="18"/>
      <c r="J636" s="18"/>
      <c r="K636" s="18">
        <f t="shared" si="153"/>
        <v>162624</v>
      </c>
      <c r="L636" s="18"/>
      <c r="M636" s="18"/>
      <c r="N636" s="18"/>
      <c r="O636" s="18">
        <f>P636</f>
        <v>162624</v>
      </c>
      <c r="P636" s="18">
        <f>1320000-(1200000)+42624</f>
        <v>162624</v>
      </c>
      <c r="Q636" s="18">
        <f t="shared" si="154"/>
        <v>5781561</v>
      </c>
    </row>
    <row r="637" spans="1:17" s="2" customFormat="1" ht="12.75">
      <c r="A637" s="112" t="s">
        <v>746</v>
      </c>
      <c r="B637" s="111" t="s">
        <v>628</v>
      </c>
      <c r="C637" s="111" t="s">
        <v>1020</v>
      </c>
      <c r="D637" s="111"/>
      <c r="E637" s="127" t="s">
        <v>630</v>
      </c>
      <c r="F637" s="123">
        <f t="shared" si="152"/>
        <v>0</v>
      </c>
      <c r="G637" s="123">
        <f>G638</f>
        <v>0</v>
      </c>
      <c r="H637" s="123">
        <f>H638</f>
        <v>0</v>
      </c>
      <c r="I637" s="123">
        <f>I638</f>
        <v>0</v>
      </c>
      <c r="J637" s="123">
        <f>J638</f>
        <v>0</v>
      </c>
      <c r="K637" s="123">
        <f t="shared" si="153"/>
        <v>4519919</v>
      </c>
      <c r="L637" s="123">
        <f>L638</f>
        <v>0</v>
      </c>
      <c r="M637" s="123">
        <f>M638</f>
        <v>0</v>
      </c>
      <c r="N637" s="123">
        <f>N638</f>
        <v>0</v>
      </c>
      <c r="O637" s="123">
        <f>O638</f>
        <v>4519919</v>
      </c>
      <c r="P637" s="123">
        <f>P638</f>
        <v>4519919</v>
      </c>
      <c r="Q637" s="123">
        <f t="shared" si="154"/>
        <v>4519919</v>
      </c>
    </row>
    <row r="638" spans="1:17" s="2" customFormat="1" ht="25.5">
      <c r="A638" s="50" t="s">
        <v>571</v>
      </c>
      <c r="B638" s="28" t="s">
        <v>87</v>
      </c>
      <c r="C638" s="50" t="s">
        <v>980</v>
      </c>
      <c r="D638" s="50" t="s">
        <v>576</v>
      </c>
      <c r="E638" s="51" t="s">
        <v>174</v>
      </c>
      <c r="F638" s="18">
        <f t="shared" si="152"/>
        <v>0</v>
      </c>
      <c r="G638" s="18"/>
      <c r="H638" s="18"/>
      <c r="I638" s="18"/>
      <c r="J638" s="18"/>
      <c r="K638" s="18">
        <f t="shared" si="153"/>
        <v>4519919</v>
      </c>
      <c r="L638" s="18"/>
      <c r="M638" s="18"/>
      <c r="N638" s="18"/>
      <c r="O638" s="18">
        <f>P638</f>
        <v>4519919</v>
      </c>
      <c r="P638" s="18">
        <f>6275965+((300000))-350000-5500000+2500000+96000+(1200000)-((2046))</f>
        <v>4519919</v>
      </c>
      <c r="Q638" s="18">
        <f t="shared" si="154"/>
        <v>4519919</v>
      </c>
    </row>
    <row r="639" spans="1:17" s="2" customFormat="1" ht="25.5" customHeight="1">
      <c r="A639" s="116" t="s">
        <v>747</v>
      </c>
      <c r="B639" s="117" t="s">
        <v>634</v>
      </c>
      <c r="C639" s="117" t="s">
        <v>1021</v>
      </c>
      <c r="D639" s="117"/>
      <c r="E639" s="125" t="s">
        <v>635</v>
      </c>
      <c r="F639" s="121">
        <f t="shared" si="152"/>
        <v>309489</v>
      </c>
      <c r="G639" s="121">
        <f>G640</f>
        <v>309489</v>
      </c>
      <c r="H639" s="121">
        <f>H640</f>
        <v>0</v>
      </c>
      <c r="I639" s="121">
        <f>I640</f>
        <v>0</v>
      </c>
      <c r="J639" s="121">
        <f>J640</f>
        <v>0</v>
      </c>
      <c r="K639" s="121">
        <f t="shared" si="153"/>
        <v>0</v>
      </c>
      <c r="L639" s="121">
        <f>L640</f>
        <v>0</v>
      </c>
      <c r="M639" s="121">
        <f>M640</f>
        <v>0</v>
      </c>
      <c r="N639" s="121">
        <f>N640</f>
        <v>0</v>
      </c>
      <c r="O639" s="121">
        <f>O640</f>
        <v>0</v>
      </c>
      <c r="P639" s="121">
        <f>P640</f>
        <v>0</v>
      </c>
      <c r="Q639" s="121">
        <f t="shared" si="154"/>
        <v>309489</v>
      </c>
    </row>
    <row r="640" spans="1:17" s="2" customFormat="1" ht="17.25" customHeight="1">
      <c r="A640" s="89" t="s">
        <v>430</v>
      </c>
      <c r="B640" s="89" t="s">
        <v>54</v>
      </c>
      <c r="C640" s="89" t="s">
        <v>1093</v>
      </c>
      <c r="D640" s="89" t="s">
        <v>577</v>
      </c>
      <c r="E640" s="99" t="s">
        <v>416</v>
      </c>
      <c r="F640" s="92">
        <f t="shared" si="152"/>
        <v>309489</v>
      </c>
      <c r="G640" s="92">
        <f>SUM(G641:G649)</f>
        <v>309489</v>
      </c>
      <c r="H640" s="92">
        <f>SUM(H641:H649)</f>
        <v>0</v>
      </c>
      <c r="I640" s="92">
        <f>SUM(I641:I649)</f>
        <v>0</v>
      </c>
      <c r="J640" s="92">
        <f>SUM(J641:J649)</f>
        <v>0</v>
      </c>
      <c r="K640" s="92">
        <f t="shared" si="153"/>
        <v>0</v>
      </c>
      <c r="L640" s="92">
        <f>SUM(L641:L649)</f>
        <v>0</v>
      </c>
      <c r="M640" s="92">
        <f>SUM(M641:M649)</f>
        <v>0</v>
      </c>
      <c r="N640" s="92">
        <f>SUM(N641:N649)</f>
        <v>0</v>
      </c>
      <c r="O640" s="92">
        <f>SUM(O641:O649)</f>
        <v>0</v>
      </c>
      <c r="P640" s="92">
        <f>SUM(P641:P649)</f>
        <v>0</v>
      </c>
      <c r="Q640" s="92">
        <f t="shared" si="154"/>
        <v>309489</v>
      </c>
    </row>
    <row r="641" spans="1:17" ht="56.25" customHeight="1" hidden="1">
      <c r="A641" s="59" t="s">
        <v>954</v>
      </c>
      <c r="B641" s="50" t="s">
        <v>54</v>
      </c>
      <c r="C641" s="50" t="s">
        <v>984</v>
      </c>
      <c r="D641" s="50" t="s">
        <v>577</v>
      </c>
      <c r="E641" s="48" t="s">
        <v>178</v>
      </c>
      <c r="F641" s="18">
        <f t="shared" si="152"/>
        <v>0</v>
      </c>
      <c r="G641" s="27"/>
      <c r="H641" s="27"/>
      <c r="I641" s="27"/>
      <c r="J641" s="27"/>
      <c r="K641" s="18">
        <f t="shared" si="153"/>
        <v>0</v>
      </c>
      <c r="L641" s="27"/>
      <c r="M641" s="27"/>
      <c r="N641" s="27"/>
      <c r="O641" s="27"/>
      <c r="P641" s="27"/>
      <c r="Q641" s="18">
        <f t="shared" si="154"/>
        <v>0</v>
      </c>
    </row>
    <row r="642" spans="1:17" s="181" customFormat="1" ht="41.25" customHeight="1" hidden="1">
      <c r="A642" s="170" t="s">
        <v>373</v>
      </c>
      <c r="B642" s="171" t="s">
        <v>54</v>
      </c>
      <c r="C642" s="170" t="s">
        <v>985</v>
      </c>
      <c r="D642" s="170" t="s">
        <v>577</v>
      </c>
      <c r="E642" s="178" t="s">
        <v>853</v>
      </c>
      <c r="F642" s="183">
        <f t="shared" si="152"/>
        <v>173009</v>
      </c>
      <c r="G642" s="180">
        <v>173009</v>
      </c>
      <c r="H642" s="180"/>
      <c r="I642" s="180"/>
      <c r="J642" s="180"/>
      <c r="K642" s="183">
        <f t="shared" si="153"/>
        <v>0</v>
      </c>
      <c r="L642" s="173"/>
      <c r="M642" s="173"/>
      <c r="N642" s="173"/>
      <c r="O642" s="173"/>
      <c r="P642" s="173"/>
      <c r="Q642" s="183">
        <f t="shared" si="154"/>
        <v>173009</v>
      </c>
    </row>
    <row r="643" spans="1:17" s="169" customFormat="1" ht="51" customHeight="1" hidden="1">
      <c r="A643" s="170" t="s">
        <v>402</v>
      </c>
      <c r="B643" s="170" t="s">
        <v>54</v>
      </c>
      <c r="C643" s="170" t="s">
        <v>986</v>
      </c>
      <c r="D643" s="170" t="s">
        <v>577</v>
      </c>
      <c r="E643" s="178" t="s">
        <v>333</v>
      </c>
      <c r="F643" s="183">
        <f t="shared" si="152"/>
        <v>86480</v>
      </c>
      <c r="G643" s="173">
        <v>86480</v>
      </c>
      <c r="H643" s="173"/>
      <c r="I643" s="173"/>
      <c r="J643" s="173"/>
      <c r="K643" s="183">
        <f t="shared" si="153"/>
        <v>0</v>
      </c>
      <c r="L643" s="173"/>
      <c r="M643" s="173"/>
      <c r="N643" s="173"/>
      <c r="O643" s="173"/>
      <c r="P643" s="173"/>
      <c r="Q643" s="183">
        <f t="shared" si="154"/>
        <v>86480</v>
      </c>
    </row>
    <row r="644" spans="1:17" s="169" customFormat="1" ht="50.25" customHeight="1" hidden="1">
      <c r="A644" s="170" t="s">
        <v>955</v>
      </c>
      <c r="B644" s="170" t="s">
        <v>54</v>
      </c>
      <c r="C644" s="170" t="s">
        <v>987</v>
      </c>
      <c r="D644" s="170" t="s">
        <v>577</v>
      </c>
      <c r="E644" s="178" t="s">
        <v>479</v>
      </c>
      <c r="F644" s="183">
        <f t="shared" si="152"/>
        <v>0</v>
      </c>
      <c r="G644" s="173"/>
      <c r="H644" s="173"/>
      <c r="I644" s="173"/>
      <c r="J644" s="173"/>
      <c r="K644" s="183">
        <f t="shared" si="153"/>
        <v>0</v>
      </c>
      <c r="L644" s="173"/>
      <c r="M644" s="173"/>
      <c r="N644" s="173"/>
      <c r="O644" s="173"/>
      <c r="P644" s="173"/>
      <c r="Q644" s="183">
        <f t="shared" si="154"/>
        <v>0</v>
      </c>
    </row>
    <row r="645" spans="1:17" s="169" customFormat="1" ht="53.25" customHeight="1" hidden="1">
      <c r="A645" s="170" t="s">
        <v>471</v>
      </c>
      <c r="B645" s="170" t="s">
        <v>54</v>
      </c>
      <c r="C645" s="170" t="s">
        <v>988</v>
      </c>
      <c r="D645" s="170" t="s">
        <v>577</v>
      </c>
      <c r="E645" s="178" t="s">
        <v>362</v>
      </c>
      <c r="F645" s="183">
        <f t="shared" si="152"/>
        <v>0</v>
      </c>
      <c r="G645" s="173"/>
      <c r="H645" s="173"/>
      <c r="I645" s="173"/>
      <c r="J645" s="173"/>
      <c r="K645" s="183">
        <f t="shared" si="153"/>
        <v>0</v>
      </c>
      <c r="L645" s="173"/>
      <c r="M645" s="173"/>
      <c r="N645" s="173"/>
      <c r="O645" s="173"/>
      <c r="P645" s="173"/>
      <c r="Q645" s="183">
        <f t="shared" si="154"/>
        <v>0</v>
      </c>
    </row>
    <row r="646" spans="1:17" s="169" customFormat="1" ht="51" hidden="1">
      <c r="A646" s="170" t="s">
        <v>469</v>
      </c>
      <c r="B646" s="170" t="s">
        <v>54</v>
      </c>
      <c r="C646" s="170" t="s">
        <v>989</v>
      </c>
      <c r="D646" s="170" t="s">
        <v>577</v>
      </c>
      <c r="E646" s="178" t="s">
        <v>320</v>
      </c>
      <c r="F646" s="183">
        <f t="shared" si="152"/>
        <v>50000</v>
      </c>
      <c r="G646" s="173">
        <v>50000</v>
      </c>
      <c r="H646" s="173"/>
      <c r="I646" s="173"/>
      <c r="J646" s="173"/>
      <c r="K646" s="183">
        <f t="shared" si="153"/>
        <v>0</v>
      </c>
      <c r="L646" s="173"/>
      <c r="M646" s="173"/>
      <c r="N646" s="173"/>
      <c r="O646" s="173"/>
      <c r="P646" s="173"/>
      <c r="Q646" s="183">
        <f t="shared" si="154"/>
        <v>50000</v>
      </c>
    </row>
    <row r="647" spans="1:17" ht="102" customHeight="1" hidden="1">
      <c r="A647" s="59" t="s">
        <v>956</v>
      </c>
      <c r="B647" s="50" t="s">
        <v>54</v>
      </c>
      <c r="C647" s="50" t="s">
        <v>990</v>
      </c>
      <c r="D647" s="50" t="s">
        <v>577</v>
      </c>
      <c r="E647" s="48" t="s">
        <v>366</v>
      </c>
      <c r="F647" s="18">
        <f t="shared" si="152"/>
        <v>0</v>
      </c>
      <c r="G647" s="52"/>
      <c r="H647" s="52"/>
      <c r="I647" s="52"/>
      <c r="J647" s="52"/>
      <c r="K647" s="18">
        <f t="shared" si="153"/>
        <v>0</v>
      </c>
      <c r="L647" s="52"/>
      <c r="M647" s="52"/>
      <c r="N647" s="52"/>
      <c r="O647" s="52"/>
      <c r="P647" s="52"/>
      <c r="Q647" s="18">
        <f t="shared" si="154"/>
        <v>0</v>
      </c>
    </row>
    <row r="648" spans="1:17" ht="25.5" hidden="1">
      <c r="A648" s="59" t="s">
        <v>461</v>
      </c>
      <c r="B648" s="50" t="s">
        <v>54</v>
      </c>
      <c r="C648" s="50" t="s">
        <v>991</v>
      </c>
      <c r="D648" s="50" t="s">
        <v>577</v>
      </c>
      <c r="E648" s="48" t="s">
        <v>886</v>
      </c>
      <c r="F648" s="18">
        <f t="shared" si="152"/>
        <v>0</v>
      </c>
      <c r="G648" s="52"/>
      <c r="H648" s="52"/>
      <c r="I648" s="52"/>
      <c r="J648" s="52"/>
      <c r="K648" s="18">
        <f t="shared" si="153"/>
        <v>0</v>
      </c>
      <c r="L648" s="52"/>
      <c r="M648" s="52"/>
      <c r="N648" s="52"/>
      <c r="O648" s="52"/>
      <c r="P648" s="52"/>
      <c r="Q648" s="18">
        <f t="shared" si="154"/>
        <v>0</v>
      </c>
    </row>
    <row r="649" spans="1:17" s="43" customFormat="1" ht="15" customHeight="1" hidden="1">
      <c r="A649" s="59" t="s">
        <v>957</v>
      </c>
      <c r="B649" s="31" t="s">
        <v>54</v>
      </c>
      <c r="C649" s="59" t="s">
        <v>1131</v>
      </c>
      <c r="D649" s="59" t="s">
        <v>577</v>
      </c>
      <c r="E649" s="48" t="s">
        <v>834</v>
      </c>
      <c r="F649" s="18">
        <f t="shared" si="152"/>
        <v>0</v>
      </c>
      <c r="G649" s="26"/>
      <c r="H649" s="26"/>
      <c r="I649" s="26"/>
      <c r="J649" s="26"/>
      <c r="K649" s="18">
        <f t="shared" si="153"/>
        <v>0</v>
      </c>
      <c r="L649" s="26"/>
      <c r="M649" s="26"/>
      <c r="N649" s="26"/>
      <c r="O649" s="26"/>
      <c r="P649" s="26"/>
      <c r="Q649" s="18">
        <f t="shared" si="154"/>
        <v>0</v>
      </c>
    </row>
    <row r="650" spans="1:17" s="41" customFormat="1" ht="12.75">
      <c r="A650" s="112" t="s">
        <v>873</v>
      </c>
      <c r="B650" s="111" t="s">
        <v>98</v>
      </c>
      <c r="C650" s="111" t="s">
        <v>1015</v>
      </c>
      <c r="D650" s="111"/>
      <c r="E650" s="122" t="s">
        <v>99</v>
      </c>
      <c r="F650" s="18">
        <f>G650+J650</f>
        <v>0</v>
      </c>
      <c r="G650" s="114">
        <f>G652</f>
        <v>0</v>
      </c>
      <c r="H650" s="114">
        <f>H652</f>
        <v>0</v>
      </c>
      <c r="I650" s="114">
        <f>I652</f>
        <v>0</v>
      </c>
      <c r="J650" s="114">
        <f>J652</f>
        <v>0</v>
      </c>
      <c r="K650" s="18">
        <f>L650+O650</f>
        <v>50008</v>
      </c>
      <c r="L650" s="114">
        <f>L652</f>
        <v>0</v>
      </c>
      <c r="M650" s="114">
        <f>M652</f>
        <v>0</v>
      </c>
      <c r="N650" s="114">
        <f>N652</f>
        <v>0</v>
      </c>
      <c r="O650" s="114">
        <f>O652+O651</f>
        <v>50008</v>
      </c>
      <c r="P650" s="114">
        <f>P652</f>
        <v>0</v>
      </c>
      <c r="Q650" s="18">
        <f>F650+K650</f>
        <v>50008</v>
      </c>
    </row>
    <row r="651" spans="1:17" ht="25.5">
      <c r="A651" s="50" t="s">
        <v>1219</v>
      </c>
      <c r="B651" s="28" t="s">
        <v>86</v>
      </c>
      <c r="C651" s="50" t="s">
        <v>1016</v>
      </c>
      <c r="D651" s="50" t="s">
        <v>587</v>
      </c>
      <c r="E651" s="25" t="s">
        <v>93</v>
      </c>
      <c r="F651" s="32"/>
      <c r="G651" s="114"/>
      <c r="H651" s="114"/>
      <c r="I651" s="114"/>
      <c r="J651" s="114"/>
      <c r="K651" s="32">
        <f>L651+O651</f>
        <v>50008</v>
      </c>
      <c r="L651" s="114"/>
      <c r="M651" s="114"/>
      <c r="N651" s="114"/>
      <c r="O651" s="114">
        <v>50008</v>
      </c>
      <c r="P651" s="114"/>
      <c r="Q651" s="114">
        <f>F651+K651</f>
        <v>50008</v>
      </c>
    </row>
    <row r="652" spans="1:17" s="2" customFormat="1" ht="52.5" customHeight="1" hidden="1">
      <c r="A652" s="89" t="s">
        <v>554</v>
      </c>
      <c r="B652" s="89" t="s">
        <v>53</v>
      </c>
      <c r="C652" s="89" t="s">
        <v>992</v>
      </c>
      <c r="D652" s="89"/>
      <c r="E652" s="99" t="s">
        <v>431</v>
      </c>
      <c r="F652" s="18">
        <f>G652+J652</f>
        <v>0</v>
      </c>
      <c r="G652" s="92">
        <f>G653</f>
        <v>0</v>
      </c>
      <c r="H652" s="92">
        <f>H653</f>
        <v>0</v>
      </c>
      <c r="I652" s="92">
        <f>I653</f>
        <v>0</v>
      </c>
      <c r="J652" s="92">
        <f>J653</f>
        <v>0</v>
      </c>
      <c r="K652" s="18">
        <f>L652+O652</f>
        <v>0</v>
      </c>
      <c r="L652" s="92">
        <f>L653</f>
        <v>0</v>
      </c>
      <c r="M652" s="92">
        <f>M653</f>
        <v>0</v>
      </c>
      <c r="N652" s="92">
        <f>N653</f>
        <v>0</v>
      </c>
      <c r="O652" s="92">
        <f>O653</f>
        <v>0</v>
      </c>
      <c r="P652" s="92">
        <f>P653</f>
        <v>0</v>
      </c>
      <c r="Q652" s="18">
        <f>F652+K652</f>
        <v>0</v>
      </c>
    </row>
    <row r="653" spans="1:17" s="2" customFormat="1" ht="25.5" customHeight="1" hidden="1">
      <c r="A653" s="7" t="s">
        <v>958</v>
      </c>
      <c r="B653" s="7" t="s">
        <v>53</v>
      </c>
      <c r="C653" s="7" t="s">
        <v>993</v>
      </c>
      <c r="D653" s="7"/>
      <c r="E653" s="5" t="s">
        <v>175</v>
      </c>
      <c r="F653" s="18">
        <f>G653+J653</f>
        <v>0</v>
      </c>
      <c r="G653" s="18"/>
      <c r="H653" s="18"/>
      <c r="I653" s="18"/>
      <c r="J653" s="18"/>
      <c r="K653" s="18">
        <f>L653+O653</f>
        <v>0</v>
      </c>
      <c r="L653" s="18"/>
      <c r="M653" s="18"/>
      <c r="N653" s="18"/>
      <c r="O653" s="18"/>
      <c r="P653" s="18"/>
      <c r="Q653" s="18">
        <f>F653+K653</f>
        <v>0</v>
      </c>
    </row>
    <row r="654" spans="1:18" ht="18.75" customHeight="1">
      <c r="A654" s="11"/>
      <c r="B654" s="11"/>
      <c r="C654" s="11"/>
      <c r="D654" s="11"/>
      <c r="E654" s="67" t="s">
        <v>56</v>
      </c>
      <c r="F654" s="201">
        <f aca="true" t="shared" si="155" ref="F654:Q654">F11+F46+F103+F129+F172+F256+F265+F269+F297+F309+F313+F343+F370+F377+F386+F390+F397+F403+F423+F446+F454+F472+F480+F488+F511+F534+F558+F584+F607+F630+F293</f>
        <v>6549516190.2</v>
      </c>
      <c r="G654" s="201">
        <f t="shared" si="155"/>
        <v>6549516190.2</v>
      </c>
      <c r="H654" s="21">
        <f t="shared" si="155"/>
        <v>1540308195</v>
      </c>
      <c r="I654" s="21">
        <f t="shared" si="155"/>
        <v>226306273</v>
      </c>
      <c r="J654" s="21">
        <f t="shared" si="155"/>
        <v>0</v>
      </c>
      <c r="K654" s="21">
        <f t="shared" si="155"/>
        <v>1893278784</v>
      </c>
      <c r="L654" s="21">
        <f t="shared" si="155"/>
        <v>124350020</v>
      </c>
      <c r="M654" s="21">
        <f t="shared" si="155"/>
        <v>16610918</v>
      </c>
      <c r="N654" s="21">
        <f t="shared" si="155"/>
        <v>5330785</v>
      </c>
      <c r="O654" s="21">
        <f t="shared" si="155"/>
        <v>1768928764</v>
      </c>
      <c r="P654" s="21">
        <f t="shared" si="155"/>
        <v>1717033874</v>
      </c>
      <c r="Q654" s="201">
        <f t="shared" si="155"/>
        <v>8442794974.2</v>
      </c>
      <c r="R654" s="164"/>
    </row>
    <row r="655" spans="2:17" ht="53.25" customHeight="1">
      <c r="B655" s="219" t="s">
        <v>305</v>
      </c>
      <c r="C655" s="219"/>
      <c r="D655" s="219"/>
      <c r="E655" s="219"/>
      <c r="F655" s="80"/>
      <c r="G655" s="80"/>
      <c r="H655" s="81"/>
      <c r="I655" s="82"/>
      <c r="J655" s="82"/>
      <c r="K655" s="82"/>
      <c r="L655" s="66"/>
      <c r="M655" s="110" t="s">
        <v>765</v>
      </c>
      <c r="N655" s="66"/>
      <c r="O655" s="66"/>
      <c r="P655" s="66"/>
      <c r="Q655" s="66"/>
    </row>
    <row r="656" spans="1:17" ht="12.75">
      <c r="A656" s="160"/>
      <c r="B656" s="161"/>
      <c r="C656" s="161"/>
      <c r="F656" s="162"/>
      <c r="G656" s="162"/>
      <c r="H656" s="162"/>
      <c r="I656" s="162"/>
      <c r="J656" s="162"/>
      <c r="K656" s="162"/>
      <c r="L656" s="162"/>
      <c r="M656" s="162"/>
      <c r="N656" s="162"/>
      <c r="O656" s="162"/>
      <c r="P656" s="162"/>
      <c r="Q656" s="162"/>
    </row>
    <row r="658" spans="1:17" ht="12.75">
      <c r="A658" s="163"/>
      <c r="F658" s="164"/>
      <c r="G658" s="164"/>
      <c r="H658" s="164"/>
      <c r="I658" s="164"/>
      <c r="J658" s="164"/>
      <c r="K658" s="164"/>
      <c r="L658" s="164"/>
      <c r="M658" s="164"/>
      <c r="N658" s="164"/>
      <c r="O658" s="164"/>
      <c r="P658" s="164"/>
      <c r="Q658" s="164"/>
    </row>
    <row r="660" spans="1:17" ht="12.75">
      <c r="A660" s="163"/>
      <c r="F660" s="162"/>
      <c r="G660" s="162"/>
      <c r="H660" s="162"/>
      <c r="I660" s="162"/>
      <c r="J660" s="162"/>
      <c r="K660" s="162"/>
      <c r="L660" s="162"/>
      <c r="M660" s="162"/>
      <c r="N660" s="162"/>
      <c r="O660" s="162"/>
      <c r="P660" s="162"/>
      <c r="Q660" s="162"/>
    </row>
    <row r="662" spans="1:17" ht="12.75">
      <c r="A662"/>
      <c r="F662" s="162"/>
      <c r="G662" s="162"/>
      <c r="H662" s="162"/>
      <c r="I662" s="162"/>
      <c r="J662" s="162"/>
      <c r="K662" s="162"/>
      <c r="L662" s="162"/>
      <c r="M662" s="162"/>
      <c r="N662" s="162"/>
      <c r="O662" s="162"/>
      <c r="P662" s="162"/>
      <c r="Q662" s="162"/>
    </row>
    <row r="663" ht="12.75">
      <c r="P663" s="164"/>
    </row>
    <row r="664" ht="12.75">
      <c r="P664" s="162"/>
    </row>
    <row r="665" spans="6:17" ht="12.75">
      <c r="F665" s="162"/>
      <c r="G665" s="162"/>
      <c r="H665" s="162"/>
      <c r="I665" s="162"/>
      <c r="J665" s="162"/>
      <c r="K665" s="162"/>
      <c r="L665" s="162"/>
      <c r="M665" s="162"/>
      <c r="N665" s="162"/>
      <c r="O665" s="162"/>
      <c r="P665" s="162"/>
      <c r="Q665" s="162"/>
    </row>
    <row r="666" ht="12.75">
      <c r="H666" s="162"/>
    </row>
    <row r="667" spans="7:16" ht="12.75">
      <c r="G667" s="162"/>
      <c r="H667" s="162"/>
      <c r="K667" s="162"/>
      <c r="L667" s="162"/>
      <c r="M667" s="162"/>
      <c r="N667" s="162"/>
      <c r="O667" s="162"/>
      <c r="P667" s="162"/>
    </row>
    <row r="668" spans="11:16" ht="12.75">
      <c r="K668" s="162"/>
      <c r="L668" s="162"/>
      <c r="M668" s="162"/>
      <c r="N668" s="162"/>
      <c r="O668" s="162"/>
      <c r="P668" s="162"/>
    </row>
    <row r="669" ht="12.75">
      <c r="O669" s="162"/>
    </row>
    <row r="672" ht="12.75">
      <c r="N672" s="162"/>
    </row>
    <row r="673" spans="2:16" ht="12.75">
      <c r="B673" s="33"/>
      <c r="C673" s="33"/>
      <c r="D673" s="33"/>
      <c r="N673" s="162"/>
      <c r="P673" s="162"/>
    </row>
    <row r="674" ht="12.75">
      <c r="P674" s="162"/>
    </row>
    <row r="677" spans="2:16" ht="12.75">
      <c r="B677" s="33"/>
      <c r="C677" s="33"/>
      <c r="D677" s="33"/>
      <c r="P677" s="162"/>
    </row>
    <row r="679" spans="2:16" ht="12.75">
      <c r="B679" s="33"/>
      <c r="C679" s="33"/>
      <c r="D679" s="33"/>
      <c r="P679" s="162"/>
    </row>
    <row r="683" spans="2:16" ht="12.75">
      <c r="B683" s="33"/>
      <c r="C683" s="33"/>
      <c r="D683" s="33"/>
      <c r="P683" s="162"/>
    </row>
  </sheetData>
  <sheetProtection/>
  <mergeCells count="23">
    <mergeCell ref="A7:A9"/>
    <mergeCell ref="B7:B9"/>
    <mergeCell ref="E7:E9"/>
    <mergeCell ref="F8:F9"/>
    <mergeCell ref="F7:J7"/>
    <mergeCell ref="O8:O9"/>
    <mergeCell ref="K8:K9"/>
    <mergeCell ref="B655:E655"/>
    <mergeCell ref="H8:I8"/>
    <mergeCell ref="G8:G9"/>
    <mergeCell ref="J8:J9"/>
    <mergeCell ref="P6:Q6"/>
    <mergeCell ref="B5:Q5"/>
    <mergeCell ref="K7:P7"/>
    <mergeCell ref="K1:L1"/>
    <mergeCell ref="K2:L2"/>
    <mergeCell ref="B4:Q4"/>
    <mergeCell ref="M8:N8"/>
    <mergeCell ref="Q7:Q9"/>
    <mergeCell ref="K3:L3"/>
    <mergeCell ref="D7:D9"/>
    <mergeCell ref="L8:L9"/>
    <mergeCell ref="C7:C9"/>
  </mergeCells>
  <printOptions/>
  <pageMargins left="0.7086614173228347" right="0.7086614173228347" top="0.7480314960629921" bottom="0.7480314960629921" header="0.31496062992125984" footer="0.31496062992125984"/>
  <pageSetup fitToHeight="25" fitToWidth="1" horizontalDpi="600" verticalDpi="600" orientation="landscape" paperSize="9" scale="55" r:id="rId1"/>
  <headerFooter differentFirst="1" alignWithMargins="0">
    <oddHeader>&amp;C&amp;P</oddHeader>
  </headerFooter>
  <rowBreaks count="1" manualBreakCount="1">
    <brk id="2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2017-09-04T08:42:24Z</cp:lastPrinted>
  <dcterms:created xsi:type="dcterms:W3CDTF">2002-01-02T08:54:19Z</dcterms:created>
  <dcterms:modified xsi:type="dcterms:W3CDTF">2017-09-08T12:12:12Z</dcterms:modified>
  <cp:category/>
  <cp:version/>
  <cp:contentType/>
  <cp:contentStatus/>
</cp:coreProperties>
</file>