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" sheetId="1" r:id="rId1"/>
    <sheet name="додаток 2" sheetId="2" r:id="rId2"/>
    <sheet name="Додаток 3" sheetId="3" r:id="rId3"/>
    <sheet name="Лист1" sheetId="4" state="hidden" r:id="rId4"/>
    <sheet name="Лист2" sheetId="5" r:id="rId5"/>
  </sheets>
  <definedNames>
    <definedName name="_GoBack" localSheetId="3">'Лист1'!$A$29</definedName>
    <definedName name="_xlnm.Print_Area" localSheetId="0">'додаток 1'!$A$1:$H$101</definedName>
    <definedName name="_xlnm.Print_Area" localSheetId="2">'Додаток 3'!$A$1:$G$112</definedName>
  </definedNames>
  <calcPr fullCalcOnLoad="1"/>
</workbook>
</file>

<file path=xl/sharedStrings.xml><?xml version="1.0" encoding="utf-8"?>
<sst xmlns="http://schemas.openxmlformats.org/spreadsheetml/2006/main" count="299" uniqueCount="144">
  <si>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</si>
  <si>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</si>
  <si>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</si>
  <si>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</si>
  <si>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Всього</t>
  </si>
  <si>
    <t>за роками</t>
  </si>
  <si>
    <t>Завдання і заходи</t>
  </si>
  <si>
    <t>Додаток 1</t>
  </si>
  <si>
    <t>Обсяг фінансування, всього</t>
  </si>
  <si>
    <t>За роками виконання</t>
  </si>
  <si>
    <t>Державний бюджет</t>
  </si>
  <si>
    <t>обласний бюджет</t>
  </si>
  <si>
    <t>Усього</t>
  </si>
  <si>
    <t>Найменування показників виконання завдання</t>
  </si>
  <si>
    <t>Одиниця виміру</t>
  </si>
  <si>
    <t>усього</t>
  </si>
  <si>
    <t>у тому числі за роками</t>
  </si>
  <si>
    <t>Значення показників</t>
  </si>
  <si>
    <t>Додаток 2</t>
  </si>
  <si>
    <t>бюджет міста</t>
  </si>
  <si>
    <t>Очікувані результати</t>
  </si>
  <si>
    <t>Орієнтовні обсяги та джерела фінансування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</si>
  <si>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</si>
  <si>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Комунарському району</t>
  </si>
  <si>
    <t>районна адміністрація Запорізької міської ради по Хортицькому району</t>
  </si>
  <si>
    <t>районна адміністрація Запорізької міської ради по Заводському району</t>
  </si>
  <si>
    <t>од.</t>
  </si>
  <si>
    <t>Додаток 3</t>
  </si>
  <si>
    <t>Інші джерела</t>
  </si>
  <si>
    <t>Головний розпорядник бюджетних коштів - районна адміністрація Запорізької міської ради по Шевченківському району</t>
  </si>
  <si>
    <t>Головний розпорядник бюджетних коштів - районна адміністрація Запорізької міської ради по Комунарському району</t>
  </si>
  <si>
    <t>Головний розпорядник бюджетних коштів - районна адміністрація Запорізької міської ради по Хортицькому району</t>
  </si>
  <si>
    <t>Головний розпорядник бюджетних коштів - районна адміністрація Запорізької міської ради по Заводському району</t>
  </si>
  <si>
    <t>Прогнозні обсяги, тис.грн</t>
  </si>
  <si>
    <t>Реалізація заходів  щодо інвестиційного розвитку території</t>
  </si>
  <si>
    <t>Забезпечення надійного та безперебійного функціонування житлово-експлуатаційного господарства, в тому числі:</t>
  </si>
  <si>
    <t>Реалізація заходів  щодо інвестиційного розвитку території, в тому числі:</t>
  </si>
  <si>
    <t>Всього по програмі</t>
  </si>
  <si>
    <t>Секретар міської ради</t>
  </si>
  <si>
    <t>тис.кв.м.</t>
  </si>
  <si>
    <t>підприємство</t>
  </si>
  <si>
    <t>Бюджет міста, всього</t>
  </si>
  <si>
    <t>в тому числі:</t>
  </si>
  <si>
    <t>власні надходження бюджетних установ</t>
  </si>
  <si>
    <t>забезпечення  проектування, будівництва та реконструкції об'єктів</t>
  </si>
  <si>
    <t>ЗАТВЕРДЖЕНО</t>
  </si>
  <si>
    <t>Рішення міської ради</t>
  </si>
  <si>
    <t>Р.О. Пидорич</t>
  </si>
  <si>
    <t>об'єктів</t>
  </si>
  <si>
    <t>проведення робіт по відновленню  асфальтового покриття прибудинкових територій та внутрішньоквартальних проїздів</t>
  </si>
  <si>
    <t xml:space="preserve">районна адміністрація Запорізької міської ради по Вознесенівському району </t>
  </si>
  <si>
    <t xml:space="preserve">Головний розпорядник бюджетних коштів - районна адміністрація Запорізької міської ради по Вознесенівському району </t>
  </si>
  <si>
    <t>районна адміністрація Запорізької міської ради по Олександрівському району</t>
  </si>
  <si>
    <t xml:space="preserve">Головний розпорядник бюджетних коштів - районна адміністрація Запорізької міської ради по Олександрівському району  </t>
  </si>
  <si>
    <t>районна адміністрація Запорізької міської ради по Дніпровському району</t>
  </si>
  <si>
    <t>Головний розпорядник бюджетних коштів - районна адміністрація Запорізької міської ради по Дніпровському району</t>
  </si>
  <si>
    <t>Капітальний ремонт житлового фонду</t>
  </si>
  <si>
    <t>Капітальний ремонт житлового фонду, в тому числі:</t>
  </si>
  <si>
    <t>проведення капітального ремонту житлового фонду ОСББ</t>
  </si>
  <si>
    <t>Забезпечення надійного та безперебійного функціонування житлово-експлуатаційного господарства</t>
  </si>
  <si>
    <t>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</t>
  </si>
  <si>
    <t>департамент економічного розвитку Запорізької міської ради</t>
  </si>
  <si>
    <t>Фінансова підтримка комунальних підприємств на поповнення обігових коштів</t>
  </si>
  <si>
    <t>придбання комп'ютерної техніки та інших предметів довгострокового користування</t>
  </si>
  <si>
    <t>будинок</t>
  </si>
  <si>
    <t>башт</t>
  </si>
  <si>
    <t>тис.од.</t>
  </si>
  <si>
    <t>Органи місцевого самоврядування</t>
  </si>
  <si>
    <t>проведення технічного нагляду по відновленню асфальтового покриття прибудинкових територій та внутрішньоквартальних проїздів</t>
  </si>
  <si>
    <t>послуги</t>
  </si>
  <si>
    <t>внески у статутні капітали комунальних  підприємств міста (придбання спеціальної техніки), в тому числі:</t>
  </si>
  <si>
    <t>Комунальне підприємство "Водоканал"</t>
  </si>
  <si>
    <t>внески у статутні капітали комунальних  підприємств міста (придбання спеціальної техніки)</t>
  </si>
  <si>
    <t>забезпечення безперебійного функціонування архітектурно-декоративного обладнання на баштах житлових будинків по пр. Соборному, 153, 171а, 175, 214, 220, бул. Шевченка, 24, вул. Моторобудівників,64</t>
  </si>
  <si>
    <t>тис кв м</t>
  </si>
  <si>
    <t>прибирання снігу та посипання території протиожеледними засобами</t>
  </si>
  <si>
    <t>тис.куб.м</t>
  </si>
  <si>
    <t>департамент з управління житлово-комунальним господарством Запорізької міської ради</t>
  </si>
  <si>
    <t>Головний розпорядник бюджетних коштів - департамент з управління житлово-комунальним господарством Запорізької міської ради</t>
  </si>
  <si>
    <t>Концерн "Міські теплові мережі"</t>
  </si>
  <si>
    <t>____________№________</t>
  </si>
  <si>
    <t xml:space="preserve">                      № </t>
  </si>
  <si>
    <t xml:space="preserve">                         №</t>
  </si>
  <si>
    <t xml:space="preserve">                     №</t>
  </si>
  <si>
    <t>з виконання Програми розвитку та утримання житлово-комунального господарства м. Запоріжжя на 2017-2019 роки</t>
  </si>
  <si>
    <t>Програми розвитку та утримання житлово-комунального господарства м. Запоріжжя на 2017-2019 роки</t>
  </si>
  <si>
    <t>коеф-нт</t>
  </si>
  <si>
    <t>до Програми розвитку та утримання житлово-комунального господарства              м. Запоріжжя на 2017-2019 роки</t>
  </si>
  <si>
    <t>виконання Програми розвитку та утримання житлово-комунального господарства м. Запоріжжя на 2017-2019 роки</t>
  </si>
  <si>
    <t>виготовлення технічної документації житлових будинків для подальшої передачі в ОСББ</t>
  </si>
  <si>
    <t>санітарне обрізування дерев на прибудинкових територіях житлового фонду</t>
  </si>
  <si>
    <t>звалювання дерев на прибудинкових територіях житлового фонду</t>
  </si>
  <si>
    <t>Головний розпорядник бюджетних коштів - департамент економічного розвитку Запорізької міської ради</t>
  </si>
  <si>
    <t>поповнення обігових коштів для забезпечення стабільного функціонування комунальних підприємств міста</t>
  </si>
  <si>
    <t>дератизація, дезінсекція житлових будинків</t>
  </si>
  <si>
    <t>до Програми розвитку та утримання житлово-комунального господарства        м. Запоріжжя на 2017-2019 роки</t>
  </si>
  <si>
    <t>утримання внутрішньо-квартальних проїздів, в тому числі:</t>
  </si>
  <si>
    <t>до Програми розвитку та утримання житлово-комунального господарства м.Запоріжжя на 2017-2019 роки</t>
  </si>
  <si>
    <t xml:space="preserve">покіс трави </t>
  </si>
  <si>
    <t xml:space="preserve">санітарне обрізування дерев на прибудинкових територіях житлового фонду </t>
  </si>
  <si>
    <t xml:space="preserve">звалювання дерев на прибудинкових територіях житлового фонду </t>
  </si>
  <si>
    <t xml:space="preserve">Впровадження засобів обліку витрат та регулювання споживання води та теплової енергії </t>
  </si>
  <si>
    <t>Впровадження засобів обліку витрат та регулювання споживання води та теплової енергії , в тому числі:</t>
  </si>
  <si>
    <t>оснащення інженерних вводів багатоквартирних будинків засобами обліку теплової енергії</t>
  </si>
  <si>
    <t>Фінансова підтримка комунальних підприємств на поповнення обігових коштів для забезпечення стабільного функціонування комунальних підприємств, в тому числі:</t>
  </si>
  <si>
    <t>виготовлення технічної документації на переведення нежитлових приміщень до житлового фонду</t>
  </si>
  <si>
    <t>капітальний ремонт підвального приміщення будівлі за адресою м.Запоріжжя вулиця Незалежної України 46-А</t>
  </si>
  <si>
    <t>капітальний ремонт приміщення будівлі за адресою м.Запоріжжя вулиця Незалежної України 46-А</t>
  </si>
  <si>
    <t>кв.м.</t>
  </si>
  <si>
    <t>од</t>
  </si>
  <si>
    <t>Придбання обладнання і предметів довгострокового користування, капітальний ремонт приміщень, в тому числі:</t>
  </si>
  <si>
    <t>збирання та вивезення безпечних відходів</t>
  </si>
  <si>
    <t>тис. куб.м.</t>
  </si>
  <si>
    <t>Будівництво та придбання житла для окремих категорій населення</t>
  </si>
  <si>
    <t>Забезпечення житлом окремих категорій населення, в тому числі:</t>
  </si>
  <si>
    <t>відновлення кришок оглядових колодязів</t>
  </si>
  <si>
    <t>Комунальне підприємство "Наше місто" ЗМР</t>
  </si>
  <si>
    <t xml:space="preserve">проведення технічного огляду ліфтів </t>
  </si>
  <si>
    <t>Забезпечення функціонування теплових мереж</t>
  </si>
  <si>
    <t>Забезпечення функціонування теплових мереж, в тому числі:</t>
  </si>
  <si>
    <t>очищення снігу і льоду (бурульок) з дахів та покрівель</t>
  </si>
  <si>
    <t>м.п.</t>
  </si>
  <si>
    <t>Комунальне підприємство "Запоріжремсервіс" ЗМР</t>
  </si>
  <si>
    <t xml:space="preserve">навантаження, подрібнення та вивіз опалого листя та гілля </t>
  </si>
  <si>
    <t>проведення державної повірки та ремонт приладів обліку теплової енергії, які встановлені у жилому фонді</t>
  </si>
  <si>
    <t xml:space="preserve">забезпечення функціонування теплових мереж </t>
  </si>
  <si>
    <t xml:space="preserve">забезпечення придбання житла для окремих категорій населення </t>
  </si>
  <si>
    <t>забезпечення функціонування теплових мереж</t>
  </si>
  <si>
    <t>Інші видатки</t>
  </si>
  <si>
    <t>виготовлення технічних паспортів на ліфти</t>
  </si>
  <si>
    <t>виконання робіт з підготовки  схем внутрішньоквартальних доріг, тротуарів, зелених насаджень та пішохідних доріжок у кварталах житлової забудови м.Запоріжжя з визначенням площ</t>
  </si>
  <si>
    <t>Виконання доручень депутатів Запорізької обласної ради</t>
  </si>
  <si>
    <t>виконання доручень депутатів Запорізької обласної ради</t>
  </si>
  <si>
    <t>Виконання інших завдань та заходів</t>
  </si>
  <si>
    <t>відшкодування витрат за опалення вільних нежитлових приміщень</t>
  </si>
  <si>
    <t>Поповнення обігових коштів підприємств для відшкодування витрат за опалення вільних нежитлових приміщень</t>
  </si>
  <si>
    <t>розробка нормативів надання послуг з вивезення твердих побутових відходів</t>
  </si>
  <si>
    <t>капітальний ремонт нежитлового приміщення по вул. Ситова, 11</t>
  </si>
  <si>
    <t>Капітальний ремонт житлового фонду об'єднань співвласників багатоквартирних будинків</t>
  </si>
  <si>
    <t>Капітальний ремонт житлового фонду об'єднань співвласників багатоквартирних будинків, в тому числі:</t>
  </si>
  <si>
    <t xml:space="preserve">проведення капітального ремонту житлового фонду </t>
  </si>
  <si>
    <t>підготовка ветхого житла до осіннь-зимового періоду</t>
  </si>
  <si>
    <t xml:space="preserve">площа житлового фонду </t>
  </si>
  <si>
    <t>проведення експертної оцінки мереж теплопостачання житлових будинків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</si>
</sst>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00"/>
    <numFmt numFmtId="205" formatCode="0.000"/>
    <numFmt numFmtId="206" formatCode="0.0"/>
    <numFmt numFmtId="207" formatCode="#,##0.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#,##0.0000"/>
    <numFmt numFmtId="218" formatCode="[$-FC19]d\ mmmm\ yyyy\ &quot;г.&quot;"/>
    <numFmt numFmtId="219" formatCode="#,##0.00000"/>
    <numFmt numFmtId="220" formatCode="#,##0.000000"/>
  </numFmts>
  <fonts count="6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Arial"/>
      <family val="2"/>
    </font>
    <font>
      <sz val="10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14"/>
      <color indexed="55"/>
      <name val="Times New Roman"/>
      <family val="1"/>
    </font>
    <font>
      <i/>
      <sz val="10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Arial"/>
      <family val="2"/>
    </font>
    <font>
      <sz val="10"/>
      <color theme="0" tint="-0.24997000396251678"/>
      <name val="Times New Roman"/>
      <family val="1"/>
    </font>
    <font>
      <sz val="8"/>
      <color theme="0" tint="-0.24997000396251678"/>
      <name val="Times New Roman"/>
      <family val="1"/>
    </font>
    <font>
      <sz val="14"/>
      <color theme="0" tint="-0.24997000396251678"/>
      <name val="Times New Roman"/>
      <family val="1"/>
    </font>
    <font>
      <b/>
      <sz val="10"/>
      <color theme="0" tint="-0.24997000396251678"/>
      <name val="Times New Roman"/>
      <family val="1"/>
    </font>
    <font>
      <i/>
      <sz val="10"/>
      <color theme="0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04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204" fontId="1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10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204" fontId="4" fillId="0" borderId="0" xfId="0" applyNumberFormat="1" applyFont="1" applyFill="1" applyAlignment="1">
      <alignment horizontal="center" vertical="top" wrapText="1"/>
    </xf>
    <xf numFmtId="204" fontId="1" fillId="0" borderId="0" xfId="0" applyNumberFormat="1" applyFont="1" applyFill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205" fontId="1" fillId="0" borderId="10" xfId="0" applyNumberFormat="1" applyFont="1" applyFill="1" applyBorder="1" applyAlignment="1">
      <alignment horizontal="center" vertical="top" wrapText="1"/>
    </xf>
    <xf numFmtId="207" fontId="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204" fontId="12" fillId="0" borderId="11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216" fontId="1" fillId="0" borderId="10" xfId="0" applyNumberFormat="1" applyFont="1" applyFill="1" applyBorder="1" applyAlignment="1">
      <alignment horizontal="center" vertical="top" wrapText="1"/>
    </xf>
    <xf numFmtId="204" fontId="1" fillId="0" borderId="0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/>
    </xf>
    <xf numFmtId="204" fontId="12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top" wrapText="1"/>
    </xf>
    <xf numFmtId="204" fontId="3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205" fontId="12" fillId="0" borderId="10" xfId="0" applyNumberFormat="1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11" fillId="0" borderId="17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/>
    </xf>
    <xf numFmtId="204" fontId="1" fillId="0" borderId="11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/>
    </xf>
    <xf numFmtId="0" fontId="1" fillId="0" borderId="14" xfId="0" applyFont="1" applyFill="1" applyBorder="1" applyAlignment="1">
      <alignment vertical="top" wrapText="1"/>
    </xf>
    <xf numFmtId="1" fontId="1" fillId="0" borderId="16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center"/>
    </xf>
    <xf numFmtId="204" fontId="1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204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205" fontId="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204" fontId="13" fillId="0" borderId="0" xfId="0" applyNumberFormat="1" applyFont="1" applyFill="1" applyAlignment="1">
      <alignment horizontal="right" vertical="top" wrapText="1"/>
    </xf>
    <xf numFmtId="0" fontId="13" fillId="0" borderId="0" xfId="0" applyFont="1" applyFill="1" applyAlignment="1">
      <alignment horizontal="right" vertical="top" wrapText="1"/>
    </xf>
    <xf numFmtId="1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205" fontId="1" fillId="0" borderId="10" xfId="0" applyNumberFormat="1" applyFont="1" applyFill="1" applyBorder="1" applyAlignment="1">
      <alignment horizontal="center" vertical="top"/>
    </xf>
    <xf numFmtId="205" fontId="1" fillId="0" borderId="0" xfId="0" applyNumberFormat="1" applyFont="1" applyFill="1" applyAlignment="1">
      <alignment horizontal="center" vertical="top" wrapText="1"/>
    </xf>
    <xf numFmtId="0" fontId="55" fillId="0" borderId="0" xfId="0" applyFont="1" applyFill="1" applyAlignment="1">
      <alignment horizontal="center" vertical="top" wrapText="1"/>
    </xf>
    <xf numFmtId="204" fontId="55" fillId="0" borderId="0" xfId="0" applyNumberFormat="1" applyFont="1" applyFill="1" applyAlignment="1">
      <alignment horizontal="center" vertical="top" wrapText="1"/>
    </xf>
    <xf numFmtId="17" fontId="55" fillId="0" borderId="0" xfId="0" applyNumberFormat="1" applyFont="1" applyFill="1" applyAlignment="1">
      <alignment horizontal="center" vertical="top" wrapText="1"/>
    </xf>
    <xf numFmtId="0" fontId="56" fillId="0" borderId="0" xfId="0" applyFont="1" applyFill="1" applyAlignment="1">
      <alignment horizontal="right" vertical="top" wrapText="1"/>
    </xf>
    <xf numFmtId="0" fontId="55" fillId="0" borderId="0" xfId="0" applyFont="1" applyFill="1" applyAlignment="1">
      <alignment vertical="top" wrapText="1"/>
    </xf>
    <xf numFmtId="0" fontId="57" fillId="0" borderId="0" xfId="0" applyFont="1" applyFill="1" applyAlignment="1">
      <alignment vertical="top" wrapText="1"/>
    </xf>
    <xf numFmtId="0" fontId="55" fillId="0" borderId="0" xfId="0" applyFont="1" applyFill="1" applyAlignment="1">
      <alignment horizontal="center" vertical="center" wrapText="1"/>
    </xf>
    <xf numFmtId="204" fontId="55" fillId="0" borderId="0" xfId="0" applyNumberFormat="1" applyFont="1" applyFill="1" applyAlignment="1">
      <alignment horizontal="center" vertical="center" wrapText="1"/>
    </xf>
    <xf numFmtId="204" fontId="58" fillId="0" borderId="0" xfId="0" applyNumberFormat="1" applyFont="1" applyFill="1" applyAlignment="1">
      <alignment vertical="top" wrapText="1"/>
    </xf>
    <xf numFmtId="0" fontId="58" fillId="0" borderId="0" xfId="0" applyFont="1" applyFill="1" applyAlignment="1">
      <alignment vertical="top" wrapText="1"/>
    </xf>
    <xf numFmtId="0" fontId="59" fillId="0" borderId="0" xfId="0" applyFont="1" applyFill="1" applyAlignment="1">
      <alignment horizontal="center" vertical="center" wrapText="1"/>
    </xf>
    <xf numFmtId="204" fontId="55" fillId="0" borderId="0" xfId="0" applyNumberFormat="1" applyFont="1" applyFill="1" applyAlignment="1">
      <alignment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3" fontId="1" fillId="0" borderId="11" xfId="0" applyNumberFormat="1" applyFont="1" applyFill="1" applyBorder="1" applyAlignment="1">
      <alignment horizontal="center" vertical="top" wrapText="1"/>
    </xf>
    <xf numFmtId="3" fontId="1" fillId="0" borderId="14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204" fontId="55" fillId="0" borderId="0" xfId="0" applyNumberFormat="1" applyFont="1" applyFill="1" applyBorder="1" applyAlignment="1">
      <alignment horizontal="center" vertical="top" wrapText="1"/>
    </xf>
    <xf numFmtId="204" fontId="58" fillId="0" borderId="0" xfId="0" applyNumberFormat="1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5:M117"/>
  <sheetViews>
    <sheetView tabSelected="1" view="pageBreakPreview" zoomScaleSheetLayoutView="100" zoomScalePageLayoutView="0" workbookViewId="0" topLeftCell="A9">
      <selection activeCell="A13" sqref="A13:H13"/>
    </sheetView>
  </sheetViews>
  <sheetFormatPr defaultColWidth="9.140625" defaultRowHeight="12.75"/>
  <cols>
    <col min="1" max="1" width="25.57421875" style="1" customWidth="1"/>
    <col min="2" max="2" width="28.421875" style="1" customWidth="1"/>
    <col min="3" max="3" width="22.7109375" style="2" customWidth="1"/>
    <col min="4" max="4" width="22.28125" style="2" customWidth="1"/>
    <col min="5" max="5" width="14.8515625" style="2" customWidth="1"/>
    <col min="6" max="6" width="13.57421875" style="2" customWidth="1"/>
    <col min="7" max="7" width="12.8515625" style="2" customWidth="1"/>
    <col min="8" max="8" width="15.140625" style="2" customWidth="1"/>
    <col min="9" max="9" width="10.8515625" style="104" bestFit="1" customWidth="1"/>
    <col min="10" max="10" width="10.140625" style="104" bestFit="1" customWidth="1"/>
    <col min="11" max="11" width="9.140625" style="104" customWidth="1"/>
    <col min="12" max="12" width="9.57421875" style="104" bestFit="1" customWidth="1"/>
    <col min="13" max="13" width="9.140625" style="104" customWidth="1"/>
    <col min="14" max="16384" width="9.140625" style="1" customWidth="1"/>
  </cols>
  <sheetData>
    <row r="5" spans="6:8" ht="20.25" hidden="1">
      <c r="F5" s="131" t="s">
        <v>45</v>
      </c>
      <c r="G5" s="131"/>
      <c r="H5" s="131"/>
    </row>
    <row r="6" spans="6:8" ht="20.25" hidden="1">
      <c r="F6" s="131" t="s">
        <v>46</v>
      </c>
      <c r="G6" s="131"/>
      <c r="H6" s="131"/>
    </row>
    <row r="7" spans="6:8" ht="20.25" hidden="1">
      <c r="F7" s="132" t="s">
        <v>82</v>
      </c>
      <c r="G7" s="132"/>
      <c r="H7" s="132"/>
    </row>
    <row r="8" spans="6:8" ht="20.25">
      <c r="F8" s="23"/>
      <c r="G8" s="23"/>
      <c r="H8" s="23"/>
    </row>
    <row r="9" spans="3:13" s="8" customFormat="1" ht="20.25" customHeight="1">
      <c r="C9" s="9"/>
      <c r="D9" s="9"/>
      <c r="E9" s="9"/>
      <c r="F9" s="131" t="s">
        <v>7</v>
      </c>
      <c r="G9" s="131"/>
      <c r="H9" s="131"/>
      <c r="I9" s="105"/>
      <c r="J9" s="105"/>
      <c r="K9" s="105"/>
      <c r="L9" s="105"/>
      <c r="M9" s="105"/>
    </row>
    <row r="10" spans="3:13" s="8" customFormat="1" ht="81.75" customHeight="1">
      <c r="C10" s="9"/>
      <c r="D10" s="9"/>
      <c r="E10" s="9"/>
      <c r="F10" s="131" t="s">
        <v>97</v>
      </c>
      <c r="G10" s="131"/>
      <c r="H10" s="131"/>
      <c r="I10" s="105"/>
      <c r="J10" s="105"/>
      <c r="K10" s="105"/>
      <c r="L10" s="105"/>
      <c r="M10" s="105"/>
    </row>
    <row r="12" spans="1:13" s="8" customFormat="1" ht="20.25">
      <c r="A12" s="134" t="s">
        <v>6</v>
      </c>
      <c r="B12" s="134"/>
      <c r="C12" s="134"/>
      <c r="D12" s="134"/>
      <c r="E12" s="134"/>
      <c r="F12" s="134"/>
      <c r="G12" s="134"/>
      <c r="H12" s="134"/>
      <c r="I12" s="105"/>
      <c r="J12" s="105"/>
      <c r="K12" s="105"/>
      <c r="L12" s="105"/>
      <c r="M12" s="105"/>
    </row>
    <row r="13" spans="1:13" s="8" customFormat="1" ht="20.25">
      <c r="A13" s="133" t="s">
        <v>84</v>
      </c>
      <c r="B13" s="133"/>
      <c r="C13" s="133"/>
      <c r="D13" s="133"/>
      <c r="E13" s="133"/>
      <c r="F13" s="133"/>
      <c r="G13" s="133"/>
      <c r="H13" s="133"/>
      <c r="I13" s="105"/>
      <c r="J13" s="105"/>
      <c r="K13" s="105"/>
      <c r="L13" s="105"/>
      <c r="M13" s="105"/>
    </row>
    <row r="14" spans="1:13" s="8" customFormat="1" ht="9.75" customHeight="1">
      <c r="A14" s="17"/>
      <c r="B14" s="17"/>
      <c r="C14" s="17"/>
      <c r="D14" s="17"/>
      <c r="E14" s="17"/>
      <c r="F14" s="17"/>
      <c r="G14" s="17"/>
      <c r="H14" s="17"/>
      <c r="I14" s="105"/>
      <c r="J14" s="105"/>
      <c r="K14" s="105"/>
      <c r="L14" s="105"/>
      <c r="M14" s="105"/>
    </row>
    <row r="15" spans="1:13" s="4" customFormat="1" ht="19.5" customHeight="1">
      <c r="A15" s="124" t="s">
        <v>0</v>
      </c>
      <c r="B15" s="124" t="s">
        <v>1</v>
      </c>
      <c r="C15" s="124" t="s">
        <v>2</v>
      </c>
      <c r="D15" s="124" t="s">
        <v>3</v>
      </c>
      <c r="E15" s="124" t="s">
        <v>33</v>
      </c>
      <c r="F15" s="124"/>
      <c r="G15" s="124"/>
      <c r="H15" s="124"/>
      <c r="I15" s="106"/>
      <c r="J15" s="106"/>
      <c r="K15" s="106"/>
      <c r="L15" s="106"/>
      <c r="M15" s="106"/>
    </row>
    <row r="16" spans="1:13" s="4" customFormat="1" ht="18" customHeight="1">
      <c r="A16" s="124"/>
      <c r="B16" s="124"/>
      <c r="C16" s="124"/>
      <c r="D16" s="124"/>
      <c r="E16" s="124" t="s">
        <v>4</v>
      </c>
      <c r="F16" s="124" t="s">
        <v>5</v>
      </c>
      <c r="G16" s="124"/>
      <c r="H16" s="124"/>
      <c r="I16" s="106"/>
      <c r="J16" s="106"/>
      <c r="K16" s="106"/>
      <c r="L16" s="106"/>
      <c r="M16" s="106"/>
    </row>
    <row r="17" spans="1:13" s="4" customFormat="1" ht="12.75">
      <c r="A17" s="124"/>
      <c r="B17" s="124"/>
      <c r="C17" s="124"/>
      <c r="D17" s="124"/>
      <c r="E17" s="124"/>
      <c r="F17" s="3">
        <v>2017</v>
      </c>
      <c r="G17" s="3">
        <v>2018</v>
      </c>
      <c r="H17" s="3">
        <v>2019</v>
      </c>
      <c r="I17" s="106"/>
      <c r="J17" s="106"/>
      <c r="K17" s="106"/>
      <c r="L17" s="106"/>
      <c r="M17" s="106"/>
    </row>
    <row r="18" spans="1:13" s="4" customFormat="1" ht="12.75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  <c r="H18" s="3">
        <v>8</v>
      </c>
      <c r="I18" s="106"/>
      <c r="J18" s="106"/>
      <c r="K18" s="106"/>
      <c r="L18" s="106"/>
      <c r="M18" s="106"/>
    </row>
    <row r="19" spans="1:13" s="4" customFormat="1" ht="12.75">
      <c r="A19" s="125" t="s">
        <v>56</v>
      </c>
      <c r="B19" s="126"/>
      <c r="C19" s="126"/>
      <c r="D19" s="126"/>
      <c r="E19" s="126"/>
      <c r="F19" s="126"/>
      <c r="G19" s="126"/>
      <c r="H19" s="127"/>
      <c r="I19" s="106"/>
      <c r="J19" s="106"/>
      <c r="K19" s="106"/>
      <c r="L19" s="106"/>
      <c r="M19" s="106"/>
    </row>
    <row r="20" spans="1:13" s="4" customFormat="1" ht="12.75" customHeight="1">
      <c r="A20" s="115" t="s">
        <v>57</v>
      </c>
      <c r="B20" s="14"/>
      <c r="C20" s="117" t="s">
        <v>77</v>
      </c>
      <c r="D20" s="26" t="s">
        <v>19</v>
      </c>
      <c r="E20" s="5">
        <f>E21</f>
        <v>1421777.811</v>
      </c>
      <c r="F20" s="5">
        <f>F21</f>
        <v>382187.624</v>
      </c>
      <c r="G20" s="5">
        <f>G21</f>
        <v>496379.497</v>
      </c>
      <c r="H20" s="5">
        <f>H21</f>
        <v>543210.69</v>
      </c>
      <c r="I20" s="107"/>
      <c r="J20" s="107"/>
      <c r="K20" s="106"/>
      <c r="L20" s="107"/>
      <c r="M20" s="106"/>
    </row>
    <row r="21" spans="1:13" s="4" customFormat="1" ht="45" customHeight="1">
      <c r="A21" s="123"/>
      <c r="B21" s="57" t="s">
        <v>140</v>
      </c>
      <c r="C21" s="121"/>
      <c r="D21" s="75"/>
      <c r="E21" s="7">
        <f>F21+G21+H21</f>
        <v>1421777.811</v>
      </c>
      <c r="F21" s="7">
        <f>396528.229-13076.494-1264.111</f>
        <v>382187.624</v>
      </c>
      <c r="G21" s="7">
        <v>496379.497</v>
      </c>
      <c r="H21" s="7">
        <v>543210.69</v>
      </c>
      <c r="I21" s="106"/>
      <c r="J21" s="107"/>
      <c r="K21" s="106"/>
      <c r="L21" s="107"/>
      <c r="M21" s="106"/>
    </row>
    <row r="22" spans="1:13" s="4" customFormat="1" ht="12.75">
      <c r="A22" s="125" t="s">
        <v>138</v>
      </c>
      <c r="B22" s="126"/>
      <c r="C22" s="126"/>
      <c r="D22" s="126"/>
      <c r="E22" s="126"/>
      <c r="F22" s="126"/>
      <c r="G22" s="126"/>
      <c r="H22" s="127"/>
      <c r="I22" s="106"/>
      <c r="J22" s="106"/>
      <c r="K22" s="106"/>
      <c r="L22" s="106"/>
      <c r="M22" s="106"/>
    </row>
    <row r="23" spans="1:13" s="4" customFormat="1" ht="12.75" customHeight="1">
      <c r="A23" s="115" t="s">
        <v>139</v>
      </c>
      <c r="B23" s="14"/>
      <c r="C23" s="117" t="s">
        <v>77</v>
      </c>
      <c r="D23" s="26" t="s">
        <v>19</v>
      </c>
      <c r="E23" s="5">
        <f>E24</f>
        <v>308200.1406068096</v>
      </c>
      <c r="F23" s="5">
        <f>F24</f>
        <v>96518.321</v>
      </c>
      <c r="G23" s="5">
        <f>G24</f>
        <v>103158.7814848</v>
      </c>
      <c r="H23" s="5">
        <f>H24</f>
        <v>108523.0381220096</v>
      </c>
      <c r="I23" s="107"/>
      <c r="J23" s="107"/>
      <c r="K23" s="106"/>
      <c r="L23" s="107"/>
      <c r="M23" s="106"/>
    </row>
    <row r="24" spans="1:13" s="4" customFormat="1" ht="51.75" customHeight="1">
      <c r="A24" s="123"/>
      <c r="B24" s="6" t="s">
        <v>58</v>
      </c>
      <c r="C24" s="118"/>
      <c r="D24" s="75"/>
      <c r="E24" s="7">
        <f>F24+G24+H24</f>
        <v>308200.1406068096</v>
      </c>
      <c r="F24" s="7">
        <f>32000+28000+30000+1617.359+4900.962</f>
        <v>96518.321</v>
      </c>
      <c r="G24" s="7">
        <f>F24*Лист1!$B$3</f>
        <v>103158.7814848</v>
      </c>
      <c r="H24" s="7">
        <f>G24*Лист1!$C$3</f>
        <v>108523.0381220096</v>
      </c>
      <c r="I24" s="106"/>
      <c r="J24" s="107"/>
      <c r="K24" s="106"/>
      <c r="L24" s="107"/>
      <c r="M24" s="106"/>
    </row>
    <row r="25" spans="1:13" s="4" customFormat="1" ht="12.75" collapsed="1">
      <c r="A25" s="125" t="s">
        <v>59</v>
      </c>
      <c r="B25" s="126"/>
      <c r="C25" s="126"/>
      <c r="D25" s="126"/>
      <c r="E25" s="126"/>
      <c r="F25" s="126"/>
      <c r="G25" s="126"/>
      <c r="H25" s="127"/>
      <c r="I25" s="106"/>
      <c r="J25" s="107"/>
      <c r="K25" s="106"/>
      <c r="L25" s="106"/>
      <c r="M25" s="106"/>
    </row>
    <row r="26" spans="1:13" s="4" customFormat="1" ht="12.75" customHeight="1">
      <c r="A26" s="115" t="s">
        <v>35</v>
      </c>
      <c r="B26" s="14"/>
      <c r="C26" s="117" t="s">
        <v>77</v>
      </c>
      <c r="D26" s="35" t="s">
        <v>19</v>
      </c>
      <c r="E26" s="5">
        <f>E27+E28+E29+E30+E36+E37+E39+E40+E42+E43+E44+E45+E34+E41+E46+E47+E35</f>
        <v>80082.88337537278</v>
      </c>
      <c r="F26" s="5">
        <f>F27+F28+F29+F30+F36+F37+F39+F40+F42+F43+F44+F45+F34+F41+F46+F47+F35+F38</f>
        <v>27740.817000000003</v>
      </c>
      <c r="G26" s="5">
        <f>G27+G28+G29+G30+G36+G37+G39+G40+G42+G43+G44+G45+G34+G41+G46+G47+G35</f>
        <v>25519.2331264</v>
      </c>
      <c r="H26" s="5">
        <f>H27+H28+H29+H30+H36+H37+H39+H40+H42+H43+H44+H45+H34+H41+H46+H47+H35</f>
        <v>26846.233248972796</v>
      </c>
      <c r="I26" s="106"/>
      <c r="J26" s="107"/>
      <c r="K26" s="106"/>
      <c r="L26" s="106"/>
      <c r="M26" s="106"/>
    </row>
    <row r="27" spans="1:13" s="4" customFormat="1" ht="84">
      <c r="A27" s="123"/>
      <c r="B27" s="67" t="s">
        <v>73</v>
      </c>
      <c r="C27" s="121"/>
      <c r="D27" s="75"/>
      <c r="E27" s="7">
        <f>F27+G27+H27</f>
        <v>2771.1704415616</v>
      </c>
      <c r="F27" s="7">
        <v>867.841</v>
      </c>
      <c r="G27" s="7">
        <f>F27*Лист1!$B$3</f>
        <v>927.5484607999999</v>
      </c>
      <c r="H27" s="7">
        <f>G27*Лист1!$C$3</f>
        <v>975.7809807616</v>
      </c>
      <c r="I27" s="106"/>
      <c r="J27" s="106"/>
      <c r="K27" s="106"/>
      <c r="L27" s="106"/>
      <c r="M27" s="106"/>
    </row>
    <row r="28" spans="1:13" s="4" customFormat="1" ht="38.25">
      <c r="A28" s="73"/>
      <c r="B28" s="12" t="s">
        <v>90</v>
      </c>
      <c r="C28" s="76"/>
      <c r="D28" s="75"/>
      <c r="E28" s="7">
        <f aca="true" t="shared" si="0" ref="E28:E33">F28+G28+H28</f>
        <v>5941.9479006976</v>
      </c>
      <c r="F28" s="7">
        <f>1739.958+120.868</f>
        <v>1860.826</v>
      </c>
      <c r="G28" s="7">
        <f>F28*Лист1!$B$3</f>
        <v>1988.8508288</v>
      </c>
      <c r="H28" s="7">
        <f>G28*Лист1!$C$3</f>
        <v>2092.2710718976</v>
      </c>
      <c r="I28" s="106"/>
      <c r="J28" s="106"/>
      <c r="K28" s="106"/>
      <c r="L28" s="106"/>
      <c r="M28" s="106"/>
    </row>
    <row r="29" spans="1:13" s="4" customFormat="1" ht="38.25">
      <c r="A29" s="73"/>
      <c r="B29" s="12" t="s">
        <v>91</v>
      </c>
      <c r="C29" s="76"/>
      <c r="D29" s="75"/>
      <c r="E29" s="7">
        <f t="shared" si="0"/>
        <v>6684.8566352256</v>
      </c>
      <c r="F29" s="7">
        <f>1467.843+25.914+599.724</f>
        <v>2093.481</v>
      </c>
      <c r="G29" s="7">
        <f>F29*Лист1!$B$3</f>
        <v>2237.5124928</v>
      </c>
      <c r="H29" s="7">
        <f>G29*Лист1!$C$3</f>
        <v>2353.8631424256</v>
      </c>
      <c r="I29" s="106"/>
      <c r="J29" s="106"/>
      <c r="K29" s="106"/>
      <c r="L29" s="106"/>
      <c r="M29" s="106"/>
    </row>
    <row r="30" spans="1:13" s="4" customFormat="1" ht="30.75" customHeight="1">
      <c r="A30" s="73"/>
      <c r="B30" s="12" t="s">
        <v>96</v>
      </c>
      <c r="C30" s="76"/>
      <c r="D30" s="75"/>
      <c r="E30" s="7">
        <f t="shared" si="0"/>
        <v>54668.669373696</v>
      </c>
      <c r="F30" s="7">
        <f>F31+F32+F33</f>
        <v>17120.46</v>
      </c>
      <c r="G30" s="7">
        <f>F30*Лист1!$B$3</f>
        <v>18298.347648</v>
      </c>
      <c r="H30" s="7">
        <f>G30*Лист1!$C$3</f>
        <v>19249.861725696</v>
      </c>
      <c r="I30" s="106"/>
      <c r="J30" s="106"/>
      <c r="K30" s="106"/>
      <c r="L30" s="106"/>
      <c r="M30" s="106"/>
    </row>
    <row r="31" spans="1:13" s="4" customFormat="1" ht="12.75">
      <c r="A31" s="73"/>
      <c r="B31" s="56" t="s">
        <v>98</v>
      </c>
      <c r="C31" s="76"/>
      <c r="D31" s="75"/>
      <c r="E31" s="7">
        <f t="shared" si="0"/>
        <v>12772.7104</v>
      </c>
      <c r="F31" s="55">
        <f>8000-4000</f>
        <v>4000</v>
      </c>
      <c r="G31" s="7">
        <f>F31*Лист1!$B$3</f>
        <v>4275.2</v>
      </c>
      <c r="H31" s="7">
        <f>G31*Лист1!$C$3</f>
        <v>4497.5104</v>
      </c>
      <c r="I31" s="106"/>
      <c r="J31" s="106"/>
      <c r="K31" s="106"/>
      <c r="L31" s="106"/>
      <c r="M31" s="106"/>
    </row>
    <row r="32" spans="1:13" s="4" customFormat="1" ht="24">
      <c r="A32" s="73"/>
      <c r="B32" s="56" t="s">
        <v>123</v>
      </c>
      <c r="C32" s="76"/>
      <c r="D32" s="75"/>
      <c r="E32" s="7">
        <f t="shared" si="0"/>
        <v>37374.649400883194</v>
      </c>
      <c r="F32" s="55">
        <f>4000+10000-6000+3704.532</f>
        <v>11704.532</v>
      </c>
      <c r="G32" s="7">
        <f>F32*Лист1!$B$3</f>
        <v>12509.8038016</v>
      </c>
      <c r="H32" s="7">
        <f>G32*Лист1!$C$3</f>
        <v>13160.3135992832</v>
      </c>
      <c r="I32" s="106"/>
      <c r="J32" s="106"/>
      <c r="K32" s="106"/>
      <c r="L32" s="106"/>
      <c r="M32" s="106"/>
    </row>
    <row r="33" spans="1:13" s="4" customFormat="1" ht="36" customHeight="1">
      <c r="A33" s="73"/>
      <c r="B33" s="56" t="s">
        <v>75</v>
      </c>
      <c r="C33" s="76"/>
      <c r="D33" s="75"/>
      <c r="E33" s="7">
        <f t="shared" si="0"/>
        <v>4521.3095728128</v>
      </c>
      <c r="F33" s="55">
        <v>1415.928</v>
      </c>
      <c r="G33" s="7">
        <f>F33*Лист1!$B$3</f>
        <v>1513.3438464</v>
      </c>
      <c r="H33" s="7">
        <f>G33*Лист1!$C$3</f>
        <v>1592.0377264128</v>
      </c>
      <c r="I33" s="106"/>
      <c r="J33" s="106"/>
      <c r="K33" s="106"/>
      <c r="L33" s="106"/>
      <c r="M33" s="106"/>
    </row>
    <row r="34" spans="1:13" s="4" customFormat="1" ht="78.75" customHeight="1">
      <c r="A34" s="73"/>
      <c r="B34" s="6" t="s">
        <v>130</v>
      </c>
      <c r="C34" s="76"/>
      <c r="D34" s="75"/>
      <c r="E34" s="7">
        <f>F34+G34+H34</f>
        <v>1046.2510269952</v>
      </c>
      <c r="F34" s="7">
        <v>327.652</v>
      </c>
      <c r="G34" s="7">
        <f>F34*Лист1!$B$3</f>
        <v>350.19445759999996</v>
      </c>
      <c r="H34" s="7">
        <f>G34*Лист1!$C$3</f>
        <v>368.4045693952</v>
      </c>
      <c r="I34" s="106"/>
      <c r="J34" s="106"/>
      <c r="K34" s="106"/>
      <c r="L34" s="106"/>
      <c r="M34" s="106"/>
    </row>
    <row r="35" spans="1:13" s="4" customFormat="1" ht="25.5">
      <c r="A35" s="73"/>
      <c r="B35" s="6" t="s">
        <v>141</v>
      </c>
      <c r="C35" s="76"/>
      <c r="D35" s="75"/>
      <c r="E35" s="7">
        <f>F35+G35+H35</f>
        <v>3000</v>
      </c>
      <c r="F35" s="7">
        <v>3000</v>
      </c>
      <c r="G35" s="7">
        <v>0</v>
      </c>
      <c r="H35" s="7">
        <v>0</v>
      </c>
      <c r="I35" s="106"/>
      <c r="J35" s="106"/>
      <c r="K35" s="106"/>
      <c r="L35" s="106"/>
      <c r="M35" s="106"/>
    </row>
    <row r="36" spans="1:13" s="4" customFormat="1" ht="25.5">
      <c r="A36" s="73"/>
      <c r="B36" s="6" t="s">
        <v>94</v>
      </c>
      <c r="C36" s="76"/>
      <c r="D36" s="75"/>
      <c r="E36" s="7">
        <f>F36+G36+H36</f>
        <v>3747.9570830464</v>
      </c>
      <c r="F36" s="7">
        <f>750+447.139-23.4</f>
        <v>1173.739</v>
      </c>
      <c r="G36" s="7">
        <f>F36*Лист1!$B$3</f>
        <v>1254.4922432</v>
      </c>
      <c r="H36" s="7">
        <f>G36*Лист1!$C$3</f>
        <v>1319.7258398464</v>
      </c>
      <c r="I36" s="106"/>
      <c r="J36" s="106"/>
      <c r="K36" s="106"/>
      <c r="L36" s="106"/>
      <c r="M36" s="106"/>
    </row>
    <row r="37" spans="1:13" s="4" customFormat="1" ht="51">
      <c r="A37" s="73"/>
      <c r="B37" s="6" t="s">
        <v>124</v>
      </c>
      <c r="C37" s="76"/>
      <c r="D37" s="75"/>
      <c r="E37" s="7">
        <f>F37+G37+H37</f>
        <v>418.3988677504</v>
      </c>
      <c r="F37" s="7">
        <f>119.239+11.79</f>
        <v>131.029</v>
      </c>
      <c r="G37" s="7">
        <f>F37*Лист1!$B$3</f>
        <v>140.0437952</v>
      </c>
      <c r="H37" s="7">
        <f>G37*Лист1!$C$3</f>
        <v>147.3260725504</v>
      </c>
      <c r="I37" s="106"/>
      <c r="J37" s="106"/>
      <c r="K37" s="106"/>
      <c r="L37" s="106"/>
      <c r="M37" s="106"/>
    </row>
    <row r="38" spans="1:13" s="4" customFormat="1" ht="38.25">
      <c r="A38" s="80"/>
      <c r="B38" s="18" t="s">
        <v>143</v>
      </c>
      <c r="C38" s="76"/>
      <c r="D38" s="75"/>
      <c r="E38" s="7">
        <f>SUM(F38:H38)</f>
        <v>23.4</v>
      </c>
      <c r="F38" s="7">
        <v>23.4</v>
      </c>
      <c r="G38" s="7">
        <v>0</v>
      </c>
      <c r="H38" s="7">
        <v>0</v>
      </c>
      <c r="I38" s="106"/>
      <c r="J38" s="106"/>
      <c r="K38" s="106"/>
      <c r="L38" s="106"/>
      <c r="M38" s="106"/>
    </row>
    <row r="39" spans="1:13" s="4" customFormat="1" ht="51">
      <c r="A39" s="73"/>
      <c r="B39" s="18" t="s">
        <v>105</v>
      </c>
      <c r="C39" s="76"/>
      <c r="D39" s="75"/>
      <c r="E39" s="7">
        <f aca="true" t="shared" si="1" ref="E39:E47">SUM(F39:H39)</f>
        <v>228.3121984</v>
      </c>
      <c r="F39" s="7">
        <v>71.5</v>
      </c>
      <c r="G39" s="7">
        <f>F39*Лист1!$B$3</f>
        <v>76.4192</v>
      </c>
      <c r="H39" s="7">
        <f>G39*Лист1!$C$3</f>
        <v>80.39299840000001</v>
      </c>
      <c r="I39" s="106"/>
      <c r="J39" s="106"/>
      <c r="K39" s="106"/>
      <c r="L39" s="106"/>
      <c r="M39" s="106"/>
    </row>
    <row r="40" spans="1:13" s="4" customFormat="1" ht="43.5" customHeight="1">
      <c r="A40" s="80"/>
      <c r="B40" s="18" t="s">
        <v>89</v>
      </c>
      <c r="C40" s="76"/>
      <c r="D40" s="75"/>
      <c r="E40" s="7">
        <f t="shared" si="1"/>
        <v>734.430848</v>
      </c>
      <c r="F40" s="7">
        <v>230</v>
      </c>
      <c r="G40" s="7">
        <f>F40*Лист1!$B$3</f>
        <v>245.82399999999998</v>
      </c>
      <c r="H40" s="7">
        <f>G40*Лист1!$C$3</f>
        <v>258.606848</v>
      </c>
      <c r="I40" s="106"/>
      <c r="J40" s="106"/>
      <c r="K40" s="106"/>
      <c r="L40" s="106"/>
      <c r="M40" s="106"/>
    </row>
    <row r="41" spans="1:13" s="4" customFormat="1" ht="27.75" customHeight="1">
      <c r="A41" s="80"/>
      <c r="B41" s="18" t="s">
        <v>129</v>
      </c>
      <c r="C41" s="76"/>
      <c r="D41" s="75"/>
      <c r="E41" s="7">
        <f>SUM(F41:H41)</f>
        <v>46.2</v>
      </c>
      <c r="F41" s="7">
        <v>46.2</v>
      </c>
      <c r="G41" s="7">
        <v>0</v>
      </c>
      <c r="H41" s="7">
        <v>0</v>
      </c>
      <c r="I41" s="106"/>
      <c r="J41" s="106"/>
      <c r="K41" s="106"/>
      <c r="L41" s="106"/>
      <c r="M41" s="106"/>
    </row>
    <row r="42" spans="1:13" s="4" customFormat="1" ht="25.5">
      <c r="A42" s="79"/>
      <c r="B42" s="18" t="s">
        <v>111</v>
      </c>
      <c r="C42" s="70"/>
      <c r="D42" s="27"/>
      <c r="E42" s="7">
        <f t="shared" si="1"/>
        <v>198</v>
      </c>
      <c r="F42" s="7">
        <v>198</v>
      </c>
      <c r="G42" s="7">
        <v>0</v>
      </c>
      <c r="H42" s="7">
        <v>0</v>
      </c>
      <c r="I42" s="106"/>
      <c r="J42" s="106"/>
      <c r="K42" s="106"/>
      <c r="L42" s="106"/>
      <c r="M42" s="106"/>
    </row>
    <row r="43" spans="1:13" s="4" customFormat="1" ht="25.5">
      <c r="A43" s="73"/>
      <c r="B43" s="78" t="s">
        <v>115</v>
      </c>
      <c r="C43" s="70"/>
      <c r="D43" s="27"/>
      <c r="E43" s="7">
        <f t="shared" si="1"/>
        <v>172</v>
      </c>
      <c r="F43" s="7">
        <v>172</v>
      </c>
      <c r="G43" s="7">
        <v>0</v>
      </c>
      <c r="H43" s="7">
        <v>0</v>
      </c>
      <c r="I43" s="106"/>
      <c r="J43" s="106"/>
      <c r="K43" s="106"/>
      <c r="L43" s="106"/>
      <c r="M43" s="106"/>
    </row>
    <row r="44" spans="1:13" s="4" customFormat="1" ht="25.5">
      <c r="A44" s="73"/>
      <c r="B44" s="78" t="s">
        <v>117</v>
      </c>
      <c r="C44" s="70"/>
      <c r="D44" s="27"/>
      <c r="E44" s="7">
        <f t="shared" si="1"/>
        <v>179.4</v>
      </c>
      <c r="F44" s="7">
        <v>179.4</v>
      </c>
      <c r="G44" s="7">
        <v>0</v>
      </c>
      <c r="H44" s="7">
        <v>0</v>
      </c>
      <c r="I44" s="106"/>
      <c r="J44" s="106"/>
      <c r="K44" s="106"/>
      <c r="L44" s="106"/>
      <c r="M44" s="106"/>
    </row>
    <row r="45" spans="1:13" s="4" customFormat="1" ht="25.5">
      <c r="A45" s="73"/>
      <c r="B45" s="78" t="s">
        <v>120</v>
      </c>
      <c r="C45" s="70"/>
      <c r="D45" s="27"/>
      <c r="E45" s="7">
        <f t="shared" si="1"/>
        <v>62.165</v>
      </c>
      <c r="F45" s="7">
        <v>62.165</v>
      </c>
      <c r="G45" s="7">
        <v>0</v>
      </c>
      <c r="H45" s="7">
        <v>0</v>
      </c>
      <c r="I45" s="106"/>
      <c r="J45" s="106"/>
      <c r="K45" s="106"/>
      <c r="L45" s="106"/>
      <c r="M45" s="106"/>
    </row>
    <row r="46" spans="1:13" s="4" customFormat="1" ht="38.25">
      <c r="A46" s="73"/>
      <c r="B46" s="78" t="s">
        <v>136</v>
      </c>
      <c r="C46" s="70"/>
      <c r="D46" s="27"/>
      <c r="E46" s="7">
        <f t="shared" si="1"/>
        <v>95</v>
      </c>
      <c r="F46" s="7">
        <v>95</v>
      </c>
      <c r="G46" s="7">
        <v>0</v>
      </c>
      <c r="H46" s="7">
        <v>0</v>
      </c>
      <c r="I46" s="106"/>
      <c r="J46" s="106"/>
      <c r="K46" s="106"/>
      <c r="L46" s="106"/>
      <c r="M46" s="106"/>
    </row>
    <row r="47" spans="1:13" s="4" customFormat="1" ht="25.5">
      <c r="A47" s="74"/>
      <c r="B47" s="78" t="s">
        <v>137</v>
      </c>
      <c r="C47" s="70"/>
      <c r="D47" s="27"/>
      <c r="E47" s="7">
        <f t="shared" si="1"/>
        <v>88.124</v>
      </c>
      <c r="F47" s="7">
        <v>88.124</v>
      </c>
      <c r="G47" s="7">
        <v>0</v>
      </c>
      <c r="H47" s="7">
        <v>0</v>
      </c>
      <c r="I47" s="106"/>
      <c r="J47" s="106"/>
      <c r="K47" s="106"/>
      <c r="L47" s="106"/>
      <c r="M47" s="106"/>
    </row>
    <row r="48" spans="1:10" ht="12.75" customHeight="1">
      <c r="A48" s="128" t="s">
        <v>35</v>
      </c>
      <c r="B48" s="19"/>
      <c r="C48" s="122" t="s">
        <v>54</v>
      </c>
      <c r="D48" s="122" t="s">
        <v>19</v>
      </c>
      <c r="E48" s="5">
        <f>F48+G48+H48</f>
        <v>5222.045</v>
      </c>
      <c r="F48" s="5">
        <f>SUM(F49)</f>
        <v>5222.045</v>
      </c>
      <c r="G48" s="5">
        <f>SUM(G49)</f>
        <v>0</v>
      </c>
      <c r="H48" s="5">
        <f>SUM(H49)</f>
        <v>0</v>
      </c>
      <c r="J48" s="108">
        <f>F48+F50+F53+F56+F59+F62+F65</f>
        <v>35603.047</v>
      </c>
    </row>
    <row r="49" spans="1:8" ht="51">
      <c r="A49" s="128"/>
      <c r="B49" s="19" t="s">
        <v>49</v>
      </c>
      <c r="C49" s="122"/>
      <c r="D49" s="122"/>
      <c r="E49" s="7">
        <f>F49+G49+H49</f>
        <v>5222.045</v>
      </c>
      <c r="F49" s="7">
        <f>4105.154+2000-883.109</f>
        <v>5222.045</v>
      </c>
      <c r="G49" s="7"/>
      <c r="H49" s="7"/>
    </row>
    <row r="50" spans="1:10" ht="15.75" customHeight="1">
      <c r="A50" s="115" t="s">
        <v>35</v>
      </c>
      <c r="B50" s="19"/>
      <c r="C50" s="117" t="s">
        <v>50</v>
      </c>
      <c r="D50" s="26" t="s">
        <v>19</v>
      </c>
      <c r="E50" s="5">
        <f>SUM(E51:E52)</f>
        <v>3990.9960000000005</v>
      </c>
      <c r="F50" s="5">
        <f>SUM(F51:F52)</f>
        <v>3990.9960000000005</v>
      </c>
      <c r="G50" s="5">
        <f>SUM(G51:G51)</f>
        <v>0</v>
      </c>
      <c r="H50" s="5">
        <f>SUM(H51:H51)</f>
        <v>0</v>
      </c>
      <c r="J50" s="109">
        <f>SUM(J51:J52)</f>
        <v>0</v>
      </c>
    </row>
    <row r="51" spans="1:11" ht="51.75" customHeight="1">
      <c r="A51" s="123"/>
      <c r="B51" s="19" t="s">
        <v>49</v>
      </c>
      <c r="C51" s="121"/>
      <c r="D51" s="75"/>
      <c r="E51" s="7">
        <f aca="true" t="shared" si="2" ref="E51:E66">F51+G51+H51</f>
        <v>3901.8590000000004</v>
      </c>
      <c r="F51" s="7">
        <f>2016.97-39.548-25.974+0.001+1950.41</f>
        <v>3901.8590000000004</v>
      </c>
      <c r="G51" s="7">
        <v>0</v>
      </c>
      <c r="H51" s="7">
        <v>0</v>
      </c>
      <c r="J51" s="104">
        <v>0.001</v>
      </c>
      <c r="K51" s="104">
        <v>3951.449</v>
      </c>
    </row>
    <row r="52" spans="1:11" ht="66.75" customHeight="1">
      <c r="A52" s="116"/>
      <c r="B52" s="19" t="s">
        <v>68</v>
      </c>
      <c r="C52" s="27"/>
      <c r="D52" s="77"/>
      <c r="E52" s="7">
        <f t="shared" si="2"/>
        <v>89.137</v>
      </c>
      <c r="F52" s="7">
        <f>39.548-0.001+49.59</f>
        <v>89.137</v>
      </c>
      <c r="G52" s="7">
        <v>0</v>
      </c>
      <c r="H52" s="7">
        <f>G52*1.055</f>
        <v>0</v>
      </c>
      <c r="J52" s="104">
        <v>-0.001</v>
      </c>
      <c r="K52" s="104">
        <v>39.547</v>
      </c>
    </row>
    <row r="53" spans="1:8" ht="12" customHeight="1">
      <c r="A53" s="128" t="s">
        <v>35</v>
      </c>
      <c r="B53" s="19"/>
      <c r="C53" s="117" t="s">
        <v>52</v>
      </c>
      <c r="D53" s="117" t="s">
        <v>19</v>
      </c>
      <c r="E53" s="5">
        <f t="shared" si="2"/>
        <v>6241.133</v>
      </c>
      <c r="F53" s="5">
        <f>SUM(F54:F55)</f>
        <v>6241.133</v>
      </c>
      <c r="G53" s="5">
        <f>SUM(G55)</f>
        <v>0</v>
      </c>
      <c r="H53" s="5">
        <f>SUM(H55)</f>
        <v>0</v>
      </c>
    </row>
    <row r="54" spans="1:8" ht="54" customHeight="1">
      <c r="A54" s="128"/>
      <c r="B54" s="19" t="s">
        <v>49</v>
      </c>
      <c r="C54" s="121"/>
      <c r="D54" s="121"/>
      <c r="E54" s="7">
        <f t="shared" si="2"/>
        <v>6146.925</v>
      </c>
      <c r="F54" s="7">
        <f>4741.133-94.208+1500</f>
        <v>6146.925</v>
      </c>
      <c r="G54" s="7">
        <v>0</v>
      </c>
      <c r="H54" s="7">
        <f>G54*1.055</f>
        <v>0</v>
      </c>
    </row>
    <row r="55" spans="1:8" ht="66.75" customHeight="1">
      <c r="A55" s="128"/>
      <c r="B55" s="19" t="s">
        <v>68</v>
      </c>
      <c r="C55" s="118"/>
      <c r="D55" s="118"/>
      <c r="E55" s="7">
        <f t="shared" si="2"/>
        <v>94.208</v>
      </c>
      <c r="F55" s="7">
        <v>94.208</v>
      </c>
      <c r="G55" s="7">
        <v>0</v>
      </c>
      <c r="H55" s="7">
        <f>G55*1.055</f>
        <v>0</v>
      </c>
    </row>
    <row r="56" spans="1:8" ht="13.5" customHeight="1">
      <c r="A56" s="115" t="s">
        <v>35</v>
      </c>
      <c r="B56" s="19"/>
      <c r="C56" s="117" t="s">
        <v>22</v>
      </c>
      <c r="D56" s="117" t="s">
        <v>19</v>
      </c>
      <c r="E56" s="5">
        <f t="shared" si="2"/>
        <v>5770.518999999999</v>
      </c>
      <c r="F56" s="5">
        <f>SUM(F57:F58)</f>
        <v>5770.518999999999</v>
      </c>
      <c r="G56" s="5">
        <f>SUM(G57)</f>
        <v>0</v>
      </c>
      <c r="H56" s="5">
        <f>SUM(H57)</f>
        <v>0</v>
      </c>
    </row>
    <row r="57" spans="1:11" ht="54" customHeight="1">
      <c r="A57" s="123"/>
      <c r="B57" s="19" t="s">
        <v>49</v>
      </c>
      <c r="C57" s="121"/>
      <c r="D57" s="121"/>
      <c r="E57" s="7">
        <f t="shared" si="2"/>
        <v>5643.431</v>
      </c>
      <c r="F57" s="7">
        <f>2370.519-44.5+3317.412</f>
        <v>5643.431</v>
      </c>
      <c r="G57" s="7">
        <v>0</v>
      </c>
      <c r="H57" s="7">
        <f>G57*1.055</f>
        <v>0</v>
      </c>
      <c r="K57" s="104">
        <v>2326.019</v>
      </c>
    </row>
    <row r="58" spans="1:8" ht="66.75" customHeight="1">
      <c r="A58" s="59"/>
      <c r="B58" s="19" t="s">
        <v>68</v>
      </c>
      <c r="C58" s="27"/>
      <c r="D58" s="27"/>
      <c r="E58" s="7">
        <f t="shared" si="2"/>
        <v>127.088</v>
      </c>
      <c r="F58" s="7">
        <f>44.5+82.588</f>
        <v>127.088</v>
      </c>
      <c r="G58" s="7">
        <v>0</v>
      </c>
      <c r="H58" s="7">
        <f>G58*1.055</f>
        <v>0</v>
      </c>
    </row>
    <row r="59" spans="1:10" ht="17.25" customHeight="1">
      <c r="A59" s="115" t="s">
        <v>35</v>
      </c>
      <c r="B59" s="19"/>
      <c r="C59" s="117" t="s">
        <v>23</v>
      </c>
      <c r="D59" s="117" t="s">
        <v>19</v>
      </c>
      <c r="E59" s="5">
        <f t="shared" si="2"/>
        <v>4943.951</v>
      </c>
      <c r="F59" s="5">
        <f>SUM(F60:F61)</f>
        <v>4943.951</v>
      </c>
      <c r="G59" s="5">
        <f>SUM(G60)</f>
        <v>0</v>
      </c>
      <c r="H59" s="5">
        <f>SUM(H60)</f>
        <v>0</v>
      </c>
      <c r="J59" s="109">
        <f>SUM(J60:J61)</f>
        <v>-5.832000000000001</v>
      </c>
    </row>
    <row r="60" spans="1:11" ht="52.5" customHeight="1">
      <c r="A60" s="123"/>
      <c r="B60" s="19" t="s">
        <v>49</v>
      </c>
      <c r="C60" s="121"/>
      <c r="D60" s="121"/>
      <c r="E60" s="7">
        <f t="shared" si="2"/>
        <v>4848.032</v>
      </c>
      <c r="F60" s="7">
        <f>3949.783-54.489-22.949+975.687</f>
        <v>4848.032</v>
      </c>
      <c r="G60" s="7">
        <v>0</v>
      </c>
      <c r="H60" s="7">
        <f>G60*1.055</f>
        <v>0</v>
      </c>
      <c r="J60" s="104">
        <v>-22.949</v>
      </c>
      <c r="K60" s="104">
        <v>4872.345</v>
      </c>
    </row>
    <row r="61" spans="1:10" ht="66.75" customHeight="1">
      <c r="A61" s="59"/>
      <c r="B61" s="19" t="s">
        <v>68</v>
      </c>
      <c r="C61" s="118"/>
      <c r="D61" s="118"/>
      <c r="E61" s="7">
        <f t="shared" si="2"/>
        <v>95.919</v>
      </c>
      <c r="F61" s="7">
        <f>54.489+17.117+24.313</f>
        <v>95.919</v>
      </c>
      <c r="G61" s="7">
        <v>0</v>
      </c>
      <c r="H61" s="7">
        <f>G61*1.055</f>
        <v>0</v>
      </c>
      <c r="J61" s="104">
        <v>17.117</v>
      </c>
    </row>
    <row r="62" spans="1:10" ht="18.75" customHeight="1">
      <c r="A62" s="115" t="s">
        <v>35</v>
      </c>
      <c r="B62" s="19"/>
      <c r="C62" s="117" t="s">
        <v>24</v>
      </c>
      <c r="D62" s="117" t="s">
        <v>19</v>
      </c>
      <c r="E62" s="5">
        <f t="shared" si="2"/>
        <v>5210.282999999999</v>
      </c>
      <c r="F62" s="5">
        <f>SUM(F63:F64)</f>
        <v>5210.282999999999</v>
      </c>
      <c r="G62" s="5">
        <f>SUM(G63:G64)</f>
        <v>0</v>
      </c>
      <c r="H62" s="5">
        <f>SUM(H63:H64)</f>
        <v>0</v>
      </c>
      <c r="J62" s="109">
        <f>SUM(J63:J64)</f>
        <v>10.479</v>
      </c>
    </row>
    <row r="63" spans="1:11" ht="52.5" customHeight="1">
      <c r="A63" s="123"/>
      <c r="B63" s="19" t="s">
        <v>49</v>
      </c>
      <c r="C63" s="121"/>
      <c r="D63" s="121"/>
      <c r="E63" s="7">
        <f t="shared" si="2"/>
        <v>5099.721</v>
      </c>
      <c r="F63" s="7">
        <f>2749.802-67.068-49.998+27.961+2439.024</f>
        <v>5099.721</v>
      </c>
      <c r="G63" s="7">
        <v>0</v>
      </c>
      <c r="H63" s="7">
        <f>G63*1.055</f>
        <v>0</v>
      </c>
      <c r="J63" s="104">
        <v>27.961</v>
      </c>
      <c r="K63" s="104">
        <v>5160.697</v>
      </c>
    </row>
    <row r="64" spans="1:10" ht="66.75" customHeight="1">
      <c r="A64" s="116"/>
      <c r="B64" s="19" t="s">
        <v>68</v>
      </c>
      <c r="C64" s="118"/>
      <c r="D64" s="118"/>
      <c r="E64" s="7">
        <f>F64+G64+H64</f>
        <v>110.562</v>
      </c>
      <c r="F64" s="7">
        <f>67.068-17.482+60.976</f>
        <v>110.562</v>
      </c>
      <c r="G64" s="7">
        <v>0</v>
      </c>
      <c r="H64" s="7">
        <f>G64*1.055</f>
        <v>0</v>
      </c>
      <c r="J64" s="104">
        <v>-17.482</v>
      </c>
    </row>
    <row r="65" spans="1:8" ht="21.75" customHeight="1">
      <c r="A65" s="128" t="s">
        <v>35</v>
      </c>
      <c r="B65" s="19"/>
      <c r="C65" s="122" t="s">
        <v>25</v>
      </c>
      <c r="D65" s="117" t="s">
        <v>19</v>
      </c>
      <c r="E65" s="5">
        <f t="shared" si="2"/>
        <v>4224.12</v>
      </c>
      <c r="F65" s="5">
        <f>SUM(F66)</f>
        <v>4224.12</v>
      </c>
      <c r="G65" s="5">
        <f>SUM(G66)</f>
        <v>0</v>
      </c>
      <c r="H65" s="5">
        <f>SUM(H66)</f>
        <v>0</v>
      </c>
    </row>
    <row r="66" spans="1:8" ht="52.5" customHeight="1">
      <c r="A66" s="128"/>
      <c r="B66" s="19" t="s">
        <v>49</v>
      </c>
      <c r="C66" s="122"/>
      <c r="D66" s="118"/>
      <c r="E66" s="7">
        <f t="shared" si="2"/>
        <v>4224.12</v>
      </c>
      <c r="F66" s="7">
        <f>1666.639-42.519+2600</f>
        <v>4224.12</v>
      </c>
      <c r="G66" s="7">
        <v>0</v>
      </c>
      <c r="H66" s="7">
        <f>G66*1.055</f>
        <v>0</v>
      </c>
    </row>
    <row r="67" spans="1:13" s="4" customFormat="1" ht="12.75">
      <c r="A67" s="125" t="s">
        <v>118</v>
      </c>
      <c r="B67" s="126"/>
      <c r="C67" s="126"/>
      <c r="D67" s="126"/>
      <c r="E67" s="126"/>
      <c r="F67" s="126"/>
      <c r="G67" s="126"/>
      <c r="H67" s="127"/>
      <c r="I67" s="106"/>
      <c r="J67" s="106"/>
      <c r="K67" s="106"/>
      <c r="L67" s="106"/>
      <c r="M67" s="106"/>
    </row>
    <row r="68" spans="1:13" s="4" customFormat="1" ht="12.75">
      <c r="A68" s="115" t="s">
        <v>119</v>
      </c>
      <c r="B68" s="6"/>
      <c r="C68" s="119" t="s">
        <v>77</v>
      </c>
      <c r="D68" s="117" t="s">
        <v>19</v>
      </c>
      <c r="E68" s="5">
        <f>F68+G68+H68</f>
        <v>5884.705</v>
      </c>
      <c r="F68" s="5">
        <f>SUM(F69:F69)</f>
        <v>5884.705</v>
      </c>
      <c r="G68" s="5">
        <f>SUM(G69:G69)</f>
        <v>0</v>
      </c>
      <c r="H68" s="5">
        <f>SUM(H69:H69)</f>
        <v>0</v>
      </c>
      <c r="I68" s="106"/>
      <c r="J68" s="106"/>
      <c r="K68" s="106"/>
      <c r="L68" s="106"/>
      <c r="M68" s="106"/>
    </row>
    <row r="69" spans="1:13" s="4" customFormat="1" ht="42" customHeight="1">
      <c r="A69" s="123"/>
      <c r="B69" s="6" t="s">
        <v>125</v>
      </c>
      <c r="C69" s="120"/>
      <c r="D69" s="118"/>
      <c r="E69" s="7">
        <f>F69+G69+H69</f>
        <v>5884.705</v>
      </c>
      <c r="F69" s="7">
        <v>5884.705</v>
      </c>
      <c r="G69" s="7">
        <v>0</v>
      </c>
      <c r="H69" s="7">
        <v>0</v>
      </c>
      <c r="I69" s="106"/>
      <c r="J69" s="106"/>
      <c r="K69" s="106"/>
      <c r="L69" s="106"/>
      <c r="M69" s="106"/>
    </row>
    <row r="70" spans="1:8" ht="12.75">
      <c r="A70" s="125" t="s">
        <v>101</v>
      </c>
      <c r="B70" s="126"/>
      <c r="C70" s="126"/>
      <c r="D70" s="126"/>
      <c r="E70" s="126"/>
      <c r="F70" s="126"/>
      <c r="G70" s="126"/>
      <c r="H70" s="127"/>
    </row>
    <row r="71" spans="1:8" ht="14.25" customHeight="1">
      <c r="A71" s="115" t="s">
        <v>102</v>
      </c>
      <c r="B71" s="19"/>
      <c r="C71" s="122" t="s">
        <v>77</v>
      </c>
      <c r="D71" s="122" t="s">
        <v>19</v>
      </c>
      <c r="E71" s="5">
        <f>F71+G71+H71</f>
        <v>5982.911</v>
      </c>
      <c r="F71" s="5">
        <f>F72</f>
        <v>5982.911</v>
      </c>
      <c r="G71" s="5">
        <f>G72</f>
        <v>0</v>
      </c>
      <c r="H71" s="5">
        <f>H72</f>
        <v>0</v>
      </c>
    </row>
    <row r="72" spans="1:8" ht="40.5" customHeight="1">
      <c r="A72" s="116"/>
      <c r="B72" s="19" t="s">
        <v>103</v>
      </c>
      <c r="C72" s="122"/>
      <c r="D72" s="122"/>
      <c r="E72" s="7">
        <f>F72+G72+H72</f>
        <v>5982.911</v>
      </c>
      <c r="F72" s="7">
        <f>8536.457-3960.25+142.593+1264.111</f>
        <v>5982.911</v>
      </c>
      <c r="G72" s="7">
        <v>0</v>
      </c>
      <c r="H72" s="7">
        <v>0</v>
      </c>
    </row>
    <row r="73" spans="1:13" s="4" customFormat="1" ht="12.75">
      <c r="A73" s="125" t="s">
        <v>34</v>
      </c>
      <c r="B73" s="126"/>
      <c r="C73" s="126"/>
      <c r="D73" s="126"/>
      <c r="E73" s="126"/>
      <c r="F73" s="126"/>
      <c r="G73" s="126"/>
      <c r="H73" s="127"/>
      <c r="I73" s="106"/>
      <c r="J73" s="106"/>
      <c r="K73" s="106"/>
      <c r="L73" s="106"/>
      <c r="M73" s="106"/>
    </row>
    <row r="74" spans="1:13" s="4" customFormat="1" ht="12.75" customHeight="1">
      <c r="A74" s="115" t="s">
        <v>36</v>
      </c>
      <c r="B74" s="14"/>
      <c r="C74" s="117" t="s">
        <v>77</v>
      </c>
      <c r="D74" s="26" t="s">
        <v>19</v>
      </c>
      <c r="E74" s="5">
        <f>E75+E76</f>
        <v>147380.68</v>
      </c>
      <c r="F74" s="5">
        <f>F75+F76</f>
        <v>86182.83799999999</v>
      </c>
      <c r="G74" s="5">
        <f>G75+G76</f>
        <v>31205.939</v>
      </c>
      <c r="H74" s="5">
        <f>H75+H76</f>
        <v>29991.903</v>
      </c>
      <c r="I74" s="106"/>
      <c r="J74" s="107"/>
      <c r="K74" s="106"/>
      <c r="L74" s="106"/>
      <c r="M74" s="106"/>
    </row>
    <row r="75" spans="1:13" s="4" customFormat="1" ht="38.25">
      <c r="A75" s="123"/>
      <c r="B75" s="6" t="s">
        <v>44</v>
      </c>
      <c r="C75" s="121"/>
      <c r="D75" s="75"/>
      <c r="E75" s="7">
        <f>F75+G75+H75</f>
        <v>117214.593</v>
      </c>
      <c r="F75" s="7">
        <f>18246.257+22096.565+20289.461+3620.619-8719.162+27.011+395.828-4324.804-1942.7+209.076+9188.6-1970-1100</f>
        <v>56016.751</v>
      </c>
      <c r="G75" s="7">
        <f>16527.069+7168.986+7509.884</f>
        <v>31205.939</v>
      </c>
      <c r="H75" s="7">
        <f>16527.068+13464.835</f>
        <v>29991.903</v>
      </c>
      <c r="I75" s="106"/>
      <c r="J75" s="107"/>
      <c r="K75" s="106"/>
      <c r="L75" s="106"/>
      <c r="M75" s="106"/>
    </row>
    <row r="76" spans="1:13" s="4" customFormat="1" ht="51">
      <c r="A76" s="123"/>
      <c r="B76" s="6" t="s">
        <v>70</v>
      </c>
      <c r="C76" s="75"/>
      <c r="D76" s="75"/>
      <c r="E76" s="7">
        <f>F76+G76+H76</f>
        <v>30166.087</v>
      </c>
      <c r="F76" s="7">
        <f>SUM(F77:F80)</f>
        <v>30166.087</v>
      </c>
      <c r="G76" s="7"/>
      <c r="H76" s="7"/>
      <c r="I76" s="106"/>
      <c r="J76" s="107"/>
      <c r="K76" s="106"/>
      <c r="L76" s="106"/>
      <c r="M76" s="106"/>
    </row>
    <row r="77" spans="1:13" s="4" customFormat="1" ht="24">
      <c r="A77" s="123"/>
      <c r="B77" s="41" t="s">
        <v>116</v>
      </c>
      <c r="C77" s="75"/>
      <c r="D77" s="75"/>
      <c r="E77" s="47">
        <f>F77</f>
        <v>606.3</v>
      </c>
      <c r="F77" s="47">
        <f>606.3</f>
        <v>606.3</v>
      </c>
      <c r="G77" s="71"/>
      <c r="H77" s="71"/>
      <c r="I77" s="106"/>
      <c r="J77" s="107"/>
      <c r="K77" s="106"/>
      <c r="L77" s="106"/>
      <c r="M77" s="106"/>
    </row>
    <row r="78" spans="1:13" s="4" customFormat="1" ht="24">
      <c r="A78" s="123"/>
      <c r="B78" s="41" t="s">
        <v>122</v>
      </c>
      <c r="C78" s="75"/>
      <c r="D78" s="75"/>
      <c r="E78" s="47">
        <f>F78</f>
        <v>8496.622</v>
      </c>
      <c r="F78" s="47">
        <f>5724+4449-327.652-1826.851+478.125</f>
        <v>8496.622</v>
      </c>
      <c r="G78" s="71"/>
      <c r="H78" s="71"/>
      <c r="I78" s="106"/>
      <c r="J78" s="107"/>
      <c r="K78" s="106"/>
      <c r="L78" s="106"/>
      <c r="M78" s="106"/>
    </row>
    <row r="79" spans="1:13" s="28" customFormat="1" ht="24">
      <c r="A79" s="123"/>
      <c r="B79" s="41" t="s">
        <v>71</v>
      </c>
      <c r="C79" s="75"/>
      <c r="D79" s="75"/>
      <c r="E79" s="47">
        <f>F79</f>
        <v>11305.900000000001</v>
      </c>
      <c r="F79" s="47">
        <f>9763.2+1542.7</f>
        <v>11305.900000000001</v>
      </c>
      <c r="G79" s="58"/>
      <c r="H79" s="58"/>
      <c r="I79" s="106"/>
      <c r="J79" s="107"/>
      <c r="K79" s="110"/>
      <c r="L79" s="110"/>
      <c r="M79" s="110"/>
    </row>
    <row r="80" spans="1:13" s="28" customFormat="1" ht="14.25" customHeight="1">
      <c r="A80" s="123"/>
      <c r="B80" s="41" t="s">
        <v>79</v>
      </c>
      <c r="C80" s="77"/>
      <c r="D80" s="77"/>
      <c r="E80" s="47">
        <f>F80</f>
        <v>9757.265000000001</v>
      </c>
      <c r="F80" s="47">
        <f>9892.227-134.962</f>
        <v>9757.265000000001</v>
      </c>
      <c r="G80" s="58"/>
      <c r="H80" s="58"/>
      <c r="I80" s="110"/>
      <c r="J80" s="110"/>
      <c r="K80" s="110"/>
      <c r="L80" s="110"/>
      <c r="M80" s="110"/>
    </row>
    <row r="81" spans="1:13" s="4" customFormat="1" ht="12.75">
      <c r="A81" s="125" t="s">
        <v>113</v>
      </c>
      <c r="B81" s="126"/>
      <c r="C81" s="126"/>
      <c r="D81" s="126"/>
      <c r="E81" s="126"/>
      <c r="F81" s="126"/>
      <c r="G81" s="126"/>
      <c r="H81" s="127"/>
      <c r="I81" s="106"/>
      <c r="J81" s="106"/>
      <c r="K81" s="106"/>
      <c r="L81" s="106"/>
      <c r="M81" s="106"/>
    </row>
    <row r="82" spans="1:13" s="4" customFormat="1" ht="12.75">
      <c r="A82" s="115" t="s">
        <v>114</v>
      </c>
      <c r="B82" s="6"/>
      <c r="C82" s="119" t="s">
        <v>77</v>
      </c>
      <c r="D82" s="117" t="s">
        <v>19</v>
      </c>
      <c r="E82" s="5">
        <f>F82+G82+H82</f>
        <v>687.275</v>
      </c>
      <c r="F82" s="5">
        <f>SUM(F83:F83)</f>
        <v>687.275</v>
      </c>
      <c r="G82" s="5">
        <f>SUM(G83:G83)</f>
        <v>0</v>
      </c>
      <c r="H82" s="5">
        <f>SUM(H83:H83)</f>
        <v>0</v>
      </c>
      <c r="I82" s="106"/>
      <c r="J82" s="106"/>
      <c r="K82" s="106"/>
      <c r="L82" s="106"/>
      <c r="M82" s="106"/>
    </row>
    <row r="83" spans="1:13" s="4" customFormat="1" ht="42" customHeight="1">
      <c r="A83" s="123"/>
      <c r="B83" s="6" t="s">
        <v>126</v>
      </c>
      <c r="C83" s="120"/>
      <c r="D83" s="118"/>
      <c r="E83" s="7">
        <f>F83+G83+H83</f>
        <v>687.275</v>
      </c>
      <c r="F83" s="7">
        <v>687.275</v>
      </c>
      <c r="G83" s="5"/>
      <c r="H83" s="5"/>
      <c r="I83" s="106"/>
      <c r="J83" s="106"/>
      <c r="K83" s="106"/>
      <c r="L83" s="106"/>
      <c r="M83" s="106"/>
    </row>
    <row r="84" spans="1:8" ht="12.75" customHeight="1">
      <c r="A84" s="125" t="s">
        <v>62</v>
      </c>
      <c r="B84" s="126"/>
      <c r="C84" s="126"/>
      <c r="D84" s="126"/>
      <c r="E84" s="126"/>
      <c r="F84" s="126"/>
      <c r="G84" s="126"/>
      <c r="H84" s="127"/>
    </row>
    <row r="85" spans="1:8" ht="12.75" customHeight="1">
      <c r="A85" s="115" t="s">
        <v>104</v>
      </c>
      <c r="B85" s="16"/>
      <c r="C85" s="117" t="s">
        <v>77</v>
      </c>
      <c r="D85" s="117" t="s">
        <v>19</v>
      </c>
      <c r="E85" s="5">
        <f>F85+G85+H85</f>
        <v>440822.256</v>
      </c>
      <c r="F85" s="5">
        <f>SUM(F86:F87)</f>
        <v>440822.256</v>
      </c>
      <c r="G85" s="5">
        <f>SUM(G86:G86)</f>
        <v>0</v>
      </c>
      <c r="H85" s="5">
        <f>SUM(H86:H86)</f>
        <v>0</v>
      </c>
    </row>
    <row r="86" spans="1:8" ht="51">
      <c r="A86" s="123"/>
      <c r="B86" s="6" t="s">
        <v>93</v>
      </c>
      <c r="C86" s="121"/>
      <c r="D86" s="118"/>
      <c r="E86" s="7">
        <f>F86+G86+H86</f>
        <v>440519.395</v>
      </c>
      <c r="F86" s="7">
        <f>400000-30000-22400+123.504-10978.885+274.776+3500+100000</f>
        <v>440519.395</v>
      </c>
      <c r="G86" s="7"/>
      <c r="H86" s="7"/>
    </row>
    <row r="87" spans="1:8" ht="53.25" customHeight="1">
      <c r="A87" s="116"/>
      <c r="B87" s="20" t="s">
        <v>93</v>
      </c>
      <c r="C87" s="14" t="s">
        <v>61</v>
      </c>
      <c r="D87" s="48" t="s">
        <v>19</v>
      </c>
      <c r="E87" s="7">
        <f>F87+G87+H87</f>
        <v>302.861</v>
      </c>
      <c r="F87" s="7">
        <v>302.861</v>
      </c>
      <c r="G87" s="7"/>
      <c r="H87" s="7"/>
    </row>
    <row r="88" spans="1:8" ht="12.75" customHeight="1">
      <c r="A88" s="125" t="s">
        <v>128</v>
      </c>
      <c r="B88" s="126"/>
      <c r="C88" s="126"/>
      <c r="D88" s="126"/>
      <c r="E88" s="126"/>
      <c r="F88" s="126"/>
      <c r="G88" s="126"/>
      <c r="H88" s="127"/>
    </row>
    <row r="89" spans="1:8" ht="12.75" customHeight="1">
      <c r="A89" s="115" t="s">
        <v>135</v>
      </c>
      <c r="B89" s="16"/>
      <c r="C89" s="117" t="s">
        <v>77</v>
      </c>
      <c r="D89" s="117" t="s">
        <v>19</v>
      </c>
      <c r="E89" s="5">
        <f>F89+G89+H89</f>
        <v>5407.84</v>
      </c>
      <c r="F89" s="5">
        <f>SUM(F90:F91)</f>
        <v>5407.84</v>
      </c>
      <c r="G89" s="5">
        <f>SUM(G90:G90)</f>
        <v>0</v>
      </c>
      <c r="H89" s="5">
        <f>SUM(H90:H90)</f>
        <v>0</v>
      </c>
    </row>
    <row r="90" spans="1:8" ht="51.75" customHeight="1">
      <c r="A90" s="116"/>
      <c r="B90" s="6" t="s">
        <v>134</v>
      </c>
      <c r="C90" s="118"/>
      <c r="D90" s="118"/>
      <c r="E90" s="7">
        <f>F90+G90+H90</f>
        <v>5407.84</v>
      </c>
      <c r="F90" s="7">
        <v>5407.84</v>
      </c>
      <c r="G90" s="7"/>
      <c r="H90" s="7"/>
    </row>
    <row r="91" spans="1:8" ht="12.75" customHeight="1">
      <c r="A91" s="130" t="s">
        <v>67</v>
      </c>
      <c r="B91" s="130"/>
      <c r="C91" s="130"/>
      <c r="D91" s="130"/>
      <c r="E91" s="130"/>
      <c r="F91" s="130"/>
      <c r="G91" s="130"/>
      <c r="H91" s="130"/>
    </row>
    <row r="92" spans="1:8" ht="13.5" customHeight="1">
      <c r="A92" s="115" t="s">
        <v>110</v>
      </c>
      <c r="B92" s="6"/>
      <c r="C92" s="117" t="s">
        <v>77</v>
      </c>
      <c r="D92" s="117" t="s">
        <v>19</v>
      </c>
      <c r="E92" s="5">
        <f>F92+G92+H92</f>
        <v>776.7804049151999</v>
      </c>
      <c r="F92" s="5">
        <f>SUM(F93:F95)</f>
        <v>443.74199999999996</v>
      </c>
      <c r="G92" s="5">
        <f>G93</f>
        <v>162.29941759999997</v>
      </c>
      <c r="H92" s="5">
        <f>H93</f>
        <v>170.73898731519998</v>
      </c>
    </row>
    <row r="93" spans="1:8" ht="38.25" customHeight="1">
      <c r="A93" s="123"/>
      <c r="B93" s="67" t="s">
        <v>63</v>
      </c>
      <c r="C93" s="121"/>
      <c r="D93" s="121"/>
      <c r="E93" s="7">
        <f>F93+G93+H93</f>
        <v>484.89040491519995</v>
      </c>
      <c r="F93" s="7">
        <f>133.652-27+45.2</f>
        <v>151.85199999999998</v>
      </c>
      <c r="G93" s="7">
        <f>F93*Лист1!$B$3</f>
        <v>162.29941759999997</v>
      </c>
      <c r="H93" s="7">
        <f>G93*Лист1!$C$3</f>
        <v>170.73898731519998</v>
      </c>
    </row>
    <row r="94" spans="1:8" ht="51" customHeight="1">
      <c r="A94" s="123"/>
      <c r="B94" s="68" t="s">
        <v>106</v>
      </c>
      <c r="C94" s="121"/>
      <c r="D94" s="27"/>
      <c r="E94" s="7">
        <f>F94+G94+H94</f>
        <v>245.332</v>
      </c>
      <c r="F94" s="63">
        <v>245.332</v>
      </c>
      <c r="G94" s="7"/>
      <c r="H94" s="7"/>
    </row>
    <row r="95" spans="1:8" ht="36">
      <c r="A95" s="116"/>
      <c r="B95" s="68" t="s">
        <v>107</v>
      </c>
      <c r="C95" s="118"/>
      <c r="D95" s="49"/>
      <c r="E95" s="7">
        <f>F95+G95+H95</f>
        <v>46.558</v>
      </c>
      <c r="F95" s="63">
        <v>46.558</v>
      </c>
      <c r="G95" s="7"/>
      <c r="H95" s="7"/>
    </row>
    <row r="96" spans="1:8" ht="12.75">
      <c r="A96" s="112" t="s">
        <v>133</v>
      </c>
      <c r="B96" s="113"/>
      <c r="C96" s="113"/>
      <c r="D96" s="113"/>
      <c r="E96" s="113"/>
      <c r="F96" s="113"/>
      <c r="G96" s="113"/>
      <c r="H96" s="114"/>
    </row>
    <row r="97" spans="1:8" ht="12" customHeight="1">
      <c r="A97" s="115" t="s">
        <v>131</v>
      </c>
      <c r="B97" s="89"/>
      <c r="C97" s="117" t="s">
        <v>77</v>
      </c>
      <c r="D97" s="117" t="s">
        <v>11</v>
      </c>
      <c r="E97" s="5">
        <f>E98</f>
        <v>2396.6130000000003</v>
      </c>
      <c r="F97" s="5">
        <f>F98</f>
        <v>2396.6130000000003</v>
      </c>
      <c r="G97" s="7"/>
      <c r="H97" s="7"/>
    </row>
    <row r="98" spans="1:8" ht="44.25" customHeight="1">
      <c r="A98" s="116"/>
      <c r="B98" s="67" t="s">
        <v>132</v>
      </c>
      <c r="C98" s="118"/>
      <c r="D98" s="118"/>
      <c r="E98" s="7">
        <f>F98</f>
        <v>2396.6130000000003</v>
      </c>
      <c r="F98" s="98">
        <f>1702.65+738.963-45</f>
        <v>2396.6130000000003</v>
      </c>
      <c r="G98" s="7"/>
      <c r="H98" s="7"/>
    </row>
    <row r="99" spans="1:8" ht="12.75">
      <c r="A99" s="21" t="s">
        <v>37</v>
      </c>
      <c r="B99" s="21"/>
      <c r="C99" s="16"/>
      <c r="D99" s="16"/>
      <c r="E99" s="5">
        <f>E92+E85+E74+E71+E65+E62+E59+E56+E53+E50+E48+E26+E20+E82+E68+E89+E97+E23</f>
        <v>2455002.942387097</v>
      </c>
      <c r="F99" s="5">
        <f>F92+F85+F74+F71+F65+F62+F59+F56+F53+F50+F48+F26+F20+F82+F68+F89+F97+F23</f>
        <v>1089857.989</v>
      </c>
      <c r="G99" s="5">
        <f>G92+G85+G74+G71+G65+G62+G59+G56+G53+G50+G48+G26+G20+G82+G68+G89+G97+G23</f>
        <v>656425.7500288</v>
      </c>
      <c r="H99" s="5">
        <f>H92+H85+H74+H71+H65+H62+H59+H56+H53+H50+H48+H26+H20+H82+H68+H89+H97+H23</f>
        <v>708742.6033582975</v>
      </c>
    </row>
    <row r="100" spans="1:13" s="8" customFormat="1" ht="20.25">
      <c r="A100" s="22"/>
      <c r="B100" s="22"/>
      <c r="C100" s="22"/>
      <c r="D100" s="22"/>
      <c r="E100" s="22"/>
      <c r="F100" s="22"/>
      <c r="G100" s="22"/>
      <c r="H100" s="22"/>
      <c r="I100" s="105"/>
      <c r="J100" s="105"/>
      <c r="K100" s="105"/>
      <c r="L100" s="105"/>
      <c r="M100" s="105"/>
    </row>
    <row r="101" spans="1:13" s="8" customFormat="1" ht="18.75">
      <c r="A101" s="129" t="s">
        <v>38</v>
      </c>
      <c r="B101" s="129"/>
      <c r="C101" s="9"/>
      <c r="D101" s="9"/>
      <c r="E101" s="9"/>
      <c r="F101" s="24"/>
      <c r="G101" s="129" t="s">
        <v>47</v>
      </c>
      <c r="H101" s="129"/>
      <c r="I101" s="105"/>
      <c r="J101" s="105"/>
      <c r="K101" s="105"/>
      <c r="L101" s="105"/>
      <c r="M101" s="105"/>
    </row>
    <row r="102" ht="12.75">
      <c r="F102" s="25"/>
    </row>
    <row r="103" ht="12.75">
      <c r="F103" s="25"/>
    </row>
    <row r="104" spans="5:7" ht="12.75">
      <c r="E104" s="100"/>
      <c r="F104" s="101"/>
      <c r="G104" s="100"/>
    </row>
    <row r="105" spans="5:9" ht="12.75">
      <c r="E105" s="102"/>
      <c r="F105" s="154"/>
      <c r="G105" s="103"/>
      <c r="H105" s="91"/>
      <c r="I105" s="111"/>
    </row>
    <row r="106" spans="5:8" ht="12.75">
      <c r="E106" s="100"/>
      <c r="F106" s="155"/>
      <c r="G106" s="103"/>
      <c r="H106" s="91"/>
    </row>
    <row r="107" spans="5:8" ht="12.75">
      <c r="E107" s="100"/>
      <c r="F107" s="101"/>
      <c r="G107" s="103"/>
      <c r="H107" s="91"/>
    </row>
    <row r="108" spans="5:8" ht="12.75">
      <c r="E108" s="93"/>
      <c r="F108" s="99"/>
      <c r="G108" s="1"/>
      <c r="H108" s="1"/>
    </row>
    <row r="109" spans="5:8" ht="12.75">
      <c r="E109" s="93"/>
      <c r="F109" s="91"/>
      <c r="G109" s="1"/>
      <c r="H109" s="1"/>
    </row>
    <row r="110" spans="6:8" ht="12.75">
      <c r="F110" s="25"/>
      <c r="G110" s="92"/>
      <c r="H110" s="91"/>
    </row>
    <row r="111" spans="7:8" ht="12.75">
      <c r="G111" s="92"/>
      <c r="H111" s="91"/>
    </row>
    <row r="112" ht="12.75">
      <c r="F112" s="25"/>
    </row>
    <row r="117" ht="12.75">
      <c r="F117" s="25"/>
    </row>
  </sheetData>
  <sheetProtection/>
  <mergeCells count="76">
    <mergeCell ref="A23:A24"/>
    <mergeCell ref="C23:C24"/>
    <mergeCell ref="A88:H88"/>
    <mergeCell ref="A25:H25"/>
    <mergeCell ref="A12:H12"/>
    <mergeCell ref="B15:B17"/>
    <mergeCell ref="A74:A80"/>
    <mergeCell ref="D62:D64"/>
    <mergeCell ref="A20:A21"/>
    <mergeCell ref="A26:A27"/>
    <mergeCell ref="C59:C61"/>
    <mergeCell ref="A48:A49"/>
    <mergeCell ref="F5:H5"/>
    <mergeCell ref="F6:H6"/>
    <mergeCell ref="F7:H7"/>
    <mergeCell ref="A13:H13"/>
    <mergeCell ref="A15:A17"/>
    <mergeCell ref="E16:E17"/>
    <mergeCell ref="F9:H9"/>
    <mergeCell ref="F10:H10"/>
    <mergeCell ref="A22:H22"/>
    <mergeCell ref="D53:D55"/>
    <mergeCell ref="C50:C51"/>
    <mergeCell ref="C48:C49"/>
    <mergeCell ref="C15:C17"/>
    <mergeCell ref="F16:H16"/>
    <mergeCell ref="C20:C21"/>
    <mergeCell ref="C26:C27"/>
    <mergeCell ref="E15:H15"/>
    <mergeCell ref="A53:A55"/>
    <mergeCell ref="A62:A64"/>
    <mergeCell ref="C62:C64"/>
    <mergeCell ref="A67:H67"/>
    <mergeCell ref="D71:D72"/>
    <mergeCell ref="A71:A72"/>
    <mergeCell ref="A68:A69"/>
    <mergeCell ref="C65:C66"/>
    <mergeCell ref="D65:D66"/>
    <mergeCell ref="A101:B101"/>
    <mergeCell ref="G101:H101"/>
    <mergeCell ref="A91:H91"/>
    <mergeCell ref="C71:C72"/>
    <mergeCell ref="A85:A87"/>
    <mergeCell ref="A84:H84"/>
    <mergeCell ref="C92:C95"/>
    <mergeCell ref="A92:A95"/>
    <mergeCell ref="A81:H81"/>
    <mergeCell ref="D82:D83"/>
    <mergeCell ref="A82:A83"/>
    <mergeCell ref="C82:C83"/>
    <mergeCell ref="A65:A66"/>
    <mergeCell ref="D85:D86"/>
    <mergeCell ref="A70:H70"/>
    <mergeCell ref="A73:H73"/>
    <mergeCell ref="C85:C86"/>
    <mergeCell ref="C74:C75"/>
    <mergeCell ref="D48:D49"/>
    <mergeCell ref="A50:A52"/>
    <mergeCell ref="D15:D17"/>
    <mergeCell ref="D59:D61"/>
    <mergeCell ref="C53:C55"/>
    <mergeCell ref="A19:H19"/>
    <mergeCell ref="A56:A57"/>
    <mergeCell ref="C56:C57"/>
    <mergeCell ref="D56:D57"/>
    <mergeCell ref="A59:A60"/>
    <mergeCell ref="A96:H96"/>
    <mergeCell ref="A97:A98"/>
    <mergeCell ref="C97:C98"/>
    <mergeCell ref="D97:D98"/>
    <mergeCell ref="C68:C69"/>
    <mergeCell ref="D68:D69"/>
    <mergeCell ref="D92:D93"/>
    <mergeCell ref="C89:C90"/>
    <mergeCell ref="D89:D90"/>
    <mergeCell ref="A89:A90"/>
  </mergeCells>
  <printOptions/>
  <pageMargins left="0.7874015748031497" right="0.3937007874015748" top="1.1811023622047245" bottom="0.3937007874015748" header="0.7874015748031497" footer="0"/>
  <pageSetup fitToHeight="25" horizontalDpi="600" verticalDpi="600" orientation="landscape" paperSize="9" scale="88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33FF"/>
  </sheetPr>
  <dimension ref="A5:F27"/>
  <sheetViews>
    <sheetView view="pageBreakPreview" zoomScaleSheetLayoutView="100" zoomScalePageLayoutView="0" workbookViewId="0" topLeftCell="A4">
      <selection activeCell="A13" sqref="A13:E13"/>
    </sheetView>
  </sheetViews>
  <sheetFormatPr defaultColWidth="9.140625" defaultRowHeight="12.75"/>
  <cols>
    <col min="1" max="1" width="46.00390625" style="11" customWidth="1"/>
    <col min="2" max="2" width="23.57421875" style="11" customWidth="1"/>
    <col min="3" max="3" width="18.00390625" style="11" customWidth="1"/>
    <col min="4" max="4" width="19.57421875" style="11" customWidth="1"/>
    <col min="5" max="5" width="18.140625" style="11" customWidth="1"/>
    <col min="6" max="6" width="9.57421875" style="11" bestFit="1" customWidth="1"/>
    <col min="7" max="16384" width="9.140625" style="11" customWidth="1"/>
  </cols>
  <sheetData>
    <row r="5" spans="4:5" ht="18.75" hidden="1">
      <c r="D5" s="129" t="s">
        <v>45</v>
      </c>
      <c r="E5" s="129"/>
    </row>
    <row r="6" spans="4:5" ht="18.75" hidden="1">
      <c r="D6" s="129" t="s">
        <v>46</v>
      </c>
      <c r="E6" s="129"/>
    </row>
    <row r="7" spans="4:5" ht="18.75" hidden="1">
      <c r="D7" s="81" t="s">
        <v>81</v>
      </c>
      <c r="E7" s="43"/>
    </row>
    <row r="9" spans="4:6" ht="18.75" customHeight="1">
      <c r="D9" s="10" t="s">
        <v>18</v>
      </c>
      <c r="E9" s="10"/>
      <c r="F9" s="8"/>
    </row>
    <row r="10" spans="4:6" ht="94.5" customHeight="1">
      <c r="D10" s="135" t="s">
        <v>95</v>
      </c>
      <c r="E10" s="135"/>
      <c r="F10" s="8"/>
    </row>
    <row r="12" spans="1:5" s="10" customFormat="1" ht="18.75">
      <c r="A12" s="136" t="s">
        <v>21</v>
      </c>
      <c r="B12" s="136"/>
      <c r="C12" s="136"/>
      <c r="D12" s="136"/>
      <c r="E12" s="136"/>
    </row>
    <row r="13" spans="1:5" s="10" customFormat="1" ht="18.75" customHeight="1">
      <c r="A13" s="137" t="s">
        <v>85</v>
      </c>
      <c r="B13" s="137"/>
      <c r="C13" s="137"/>
      <c r="D13" s="137"/>
      <c r="E13" s="137"/>
    </row>
    <row r="14" spans="1:5" ht="12.75">
      <c r="A14" s="4"/>
      <c r="B14" s="4"/>
      <c r="C14" s="4"/>
      <c r="D14" s="4"/>
      <c r="E14" s="4"/>
    </row>
    <row r="15" spans="1:5" ht="12.75">
      <c r="A15" s="124"/>
      <c r="B15" s="124" t="s">
        <v>8</v>
      </c>
      <c r="C15" s="124" t="s">
        <v>9</v>
      </c>
      <c r="D15" s="124"/>
      <c r="E15" s="124"/>
    </row>
    <row r="16" spans="1:5" ht="12.75">
      <c r="A16" s="124"/>
      <c r="B16" s="124"/>
      <c r="C16" s="3">
        <v>2017</v>
      </c>
      <c r="D16" s="3">
        <v>2018</v>
      </c>
      <c r="E16" s="3">
        <v>2019</v>
      </c>
    </row>
    <row r="17" spans="1:5" s="4" customFormat="1" ht="12.75">
      <c r="A17" s="3">
        <v>1</v>
      </c>
      <c r="B17" s="3">
        <v>2</v>
      </c>
      <c r="C17" s="3">
        <v>3</v>
      </c>
      <c r="D17" s="3">
        <v>4</v>
      </c>
      <c r="E17" s="3">
        <v>5</v>
      </c>
    </row>
    <row r="18" spans="1:6" ht="12.75">
      <c r="A18" s="12" t="s">
        <v>41</v>
      </c>
      <c r="B18" s="82">
        <f>C18+D18+E18</f>
        <v>2452629.7293870975</v>
      </c>
      <c r="C18" s="82">
        <f>'додаток 1'!F99-C22</f>
        <v>1087461.3760000002</v>
      </c>
      <c r="D18" s="82">
        <f>'додаток 1'!G99</f>
        <v>656425.7500288</v>
      </c>
      <c r="E18" s="82">
        <f>'додаток 1'!H99</f>
        <v>708742.6033582975</v>
      </c>
      <c r="F18" s="83"/>
    </row>
    <row r="19" spans="1:6" ht="12.75">
      <c r="A19" s="12" t="s">
        <v>42</v>
      </c>
      <c r="B19" s="82"/>
      <c r="C19" s="82"/>
      <c r="D19" s="82"/>
      <c r="E19" s="82"/>
      <c r="F19" s="83"/>
    </row>
    <row r="20" spans="1:6" s="87" customFormat="1" ht="12.75">
      <c r="A20" s="84" t="s">
        <v>43</v>
      </c>
      <c r="B20" s="85">
        <f>C20+D20+E20</f>
        <v>0</v>
      </c>
      <c r="C20" s="85"/>
      <c r="D20" s="85"/>
      <c r="E20" s="85"/>
      <c r="F20" s="86"/>
    </row>
    <row r="21" spans="1:5" ht="12.75">
      <c r="A21" s="12" t="s">
        <v>10</v>
      </c>
      <c r="B21" s="82">
        <f>C21+D21+E21</f>
        <v>0</v>
      </c>
      <c r="C21" s="82"/>
      <c r="D21" s="82"/>
      <c r="E21" s="82"/>
    </row>
    <row r="22" spans="1:5" ht="12.75">
      <c r="A22" s="12" t="s">
        <v>11</v>
      </c>
      <c r="B22" s="82">
        <f>C22+D22+E22</f>
        <v>2396.6130000000003</v>
      </c>
      <c r="C22" s="88">
        <f>'додаток 1'!F98</f>
        <v>2396.6130000000003</v>
      </c>
      <c r="D22" s="82"/>
      <c r="E22" s="82"/>
    </row>
    <row r="23" spans="1:5" ht="12.75" customHeight="1">
      <c r="A23" s="12" t="s">
        <v>28</v>
      </c>
      <c r="B23" s="82">
        <f>C23+D23+E23</f>
        <v>0</v>
      </c>
      <c r="C23" s="3"/>
      <c r="D23" s="88"/>
      <c r="E23" s="88"/>
    </row>
    <row r="24" spans="1:5" ht="19.5" customHeight="1">
      <c r="A24" s="12" t="s">
        <v>12</v>
      </c>
      <c r="B24" s="82">
        <f>B18+B21+B22+B23</f>
        <v>2455026.3423870974</v>
      </c>
      <c r="C24" s="82">
        <f>C18+C21+C22+C23</f>
        <v>1089857.989</v>
      </c>
      <c r="D24" s="82">
        <f>D18+D21+D22+D23</f>
        <v>656425.7500288</v>
      </c>
      <c r="E24" s="82">
        <f>E18+E21+E22+E23</f>
        <v>708742.6033582975</v>
      </c>
    </row>
    <row r="27" spans="1:5" s="10" customFormat="1" ht="18.75">
      <c r="A27" s="10" t="s">
        <v>38</v>
      </c>
      <c r="D27" s="129" t="s">
        <v>47</v>
      </c>
      <c r="E27" s="129"/>
    </row>
  </sheetData>
  <sheetProtection/>
  <mergeCells count="9">
    <mergeCell ref="D5:E5"/>
    <mergeCell ref="D6:E6"/>
    <mergeCell ref="D10:E10"/>
    <mergeCell ref="D27:E27"/>
    <mergeCell ref="A15:A16"/>
    <mergeCell ref="C15:E15"/>
    <mergeCell ref="A12:E12"/>
    <mergeCell ref="A13:E13"/>
    <mergeCell ref="B15:B16"/>
  </mergeCells>
  <printOptions/>
  <pageMargins left="1.1811023622047245" right="0.3937007874015748" top="0.7874015748031497" bottom="0.5905511811023623" header="0" footer="0"/>
  <pageSetup horizontalDpi="600" verticalDpi="600" orientation="landscape" paperSize="9" scale="105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5:I115"/>
  <sheetViews>
    <sheetView view="pageBreakPreview" zoomScaleNormal="90" zoomScaleSheetLayoutView="100" zoomScalePageLayoutView="70" workbookViewId="0" topLeftCell="A1">
      <selection activeCell="A13" sqref="A13:G13"/>
    </sheetView>
  </sheetViews>
  <sheetFormatPr defaultColWidth="9.140625" defaultRowHeight="12.75"/>
  <cols>
    <col min="1" max="1" width="35.8515625" style="29" customWidth="1"/>
    <col min="2" max="2" width="28.57421875" style="11" customWidth="1"/>
    <col min="3" max="3" width="9.140625" style="4" customWidth="1"/>
    <col min="4" max="4" width="16.421875" style="11" customWidth="1"/>
    <col min="5" max="5" width="16.7109375" style="11" customWidth="1"/>
    <col min="6" max="6" width="15.140625" style="11" customWidth="1"/>
    <col min="7" max="7" width="14.28125" style="11" customWidth="1"/>
    <col min="8" max="8" width="7.00390625" style="11" hidden="1" customWidth="1"/>
    <col min="9" max="16384" width="9.140625" style="11" customWidth="1"/>
  </cols>
  <sheetData>
    <row r="4" ht="12.75" hidden="1"/>
    <row r="5" spans="5:6" ht="18.75" hidden="1">
      <c r="E5" s="129" t="s">
        <v>45</v>
      </c>
      <c r="F5" s="129"/>
    </row>
    <row r="6" spans="5:6" ht="18.75" hidden="1">
      <c r="E6" s="129" t="s">
        <v>46</v>
      </c>
      <c r="F6" s="129"/>
    </row>
    <row r="7" spans="5:6" ht="17.25" customHeight="1" hidden="1">
      <c r="E7" s="152" t="s">
        <v>83</v>
      </c>
      <c r="F7" s="152" t="s">
        <v>80</v>
      </c>
    </row>
    <row r="8" ht="12.75" hidden="1"/>
    <row r="9" spans="1:7" ht="18.75">
      <c r="A9" s="11"/>
      <c r="E9" s="135" t="s">
        <v>27</v>
      </c>
      <c r="F9" s="135"/>
      <c r="G9" s="135"/>
    </row>
    <row r="10" spans="1:7" ht="58.5" customHeight="1">
      <c r="A10" s="11"/>
      <c r="E10" s="135" t="s">
        <v>87</v>
      </c>
      <c r="F10" s="135"/>
      <c r="G10" s="135"/>
    </row>
    <row r="11" ht="9.75" customHeight="1">
      <c r="A11" s="11"/>
    </row>
    <row r="12" spans="1:7" s="10" customFormat="1" ht="18.75">
      <c r="A12" s="136" t="s">
        <v>20</v>
      </c>
      <c r="B12" s="136"/>
      <c r="C12" s="136"/>
      <c r="D12" s="136"/>
      <c r="E12" s="136"/>
      <c r="F12" s="136"/>
      <c r="G12" s="136"/>
    </row>
    <row r="13" spans="1:7" s="10" customFormat="1" ht="18.75" customHeight="1">
      <c r="A13" s="137" t="s">
        <v>88</v>
      </c>
      <c r="B13" s="137"/>
      <c r="C13" s="137"/>
      <c r="D13" s="137"/>
      <c r="E13" s="137"/>
      <c r="F13" s="137"/>
      <c r="G13" s="137"/>
    </row>
    <row r="14" spans="1:7" s="10" customFormat="1" ht="10.5" customHeight="1">
      <c r="A14" s="30"/>
      <c r="B14" s="30"/>
      <c r="C14" s="30"/>
      <c r="D14" s="30"/>
      <c r="E14" s="30"/>
      <c r="F14" s="30"/>
      <c r="G14" s="30"/>
    </row>
    <row r="15" spans="1:7" ht="12.75">
      <c r="A15" s="124" t="s">
        <v>0</v>
      </c>
      <c r="B15" s="124" t="s">
        <v>13</v>
      </c>
      <c r="C15" s="124" t="s">
        <v>14</v>
      </c>
      <c r="D15" s="124" t="s">
        <v>17</v>
      </c>
      <c r="E15" s="124"/>
      <c r="F15" s="124"/>
      <c r="G15" s="124"/>
    </row>
    <row r="16" spans="1:7" ht="12.75">
      <c r="A16" s="124"/>
      <c r="B16" s="124"/>
      <c r="C16" s="124"/>
      <c r="D16" s="124" t="s">
        <v>15</v>
      </c>
      <c r="E16" s="124" t="s">
        <v>16</v>
      </c>
      <c r="F16" s="124"/>
      <c r="G16" s="124"/>
    </row>
    <row r="17" spans="1:7" ht="24" customHeight="1">
      <c r="A17" s="124"/>
      <c r="B17" s="124"/>
      <c r="C17" s="124"/>
      <c r="D17" s="124"/>
      <c r="E17" s="3">
        <v>2017</v>
      </c>
      <c r="F17" s="3">
        <v>2018</v>
      </c>
      <c r="G17" s="3">
        <v>2019</v>
      </c>
    </row>
    <row r="18" spans="1:7" s="4" customFormat="1" ht="12.75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</row>
    <row r="19" spans="1:7" s="4" customFormat="1" ht="12.75">
      <c r="A19" s="130" t="s">
        <v>56</v>
      </c>
      <c r="B19" s="147"/>
      <c r="C19" s="147"/>
      <c r="D19" s="147"/>
      <c r="E19" s="147"/>
      <c r="F19" s="147"/>
      <c r="G19" s="147"/>
    </row>
    <row r="20" spans="1:7" s="4" customFormat="1" ht="12.75">
      <c r="A20" s="122" t="s">
        <v>78</v>
      </c>
      <c r="B20" s="122"/>
      <c r="C20" s="122"/>
      <c r="D20" s="122"/>
      <c r="E20" s="122"/>
      <c r="F20" s="122"/>
      <c r="G20" s="122"/>
    </row>
    <row r="21" spans="1:7" s="4" customFormat="1" ht="34.5" customHeight="1">
      <c r="A21" s="96" t="s">
        <v>57</v>
      </c>
      <c r="B21" s="97" t="s">
        <v>142</v>
      </c>
      <c r="C21" s="14" t="s">
        <v>39</v>
      </c>
      <c r="D21" s="7">
        <f>E21</f>
        <v>11113.775</v>
      </c>
      <c r="E21" s="7">
        <v>11113.775</v>
      </c>
      <c r="F21" s="7">
        <f>E21</f>
        <v>11113.775</v>
      </c>
      <c r="G21" s="7">
        <f>F21</f>
        <v>11113.775</v>
      </c>
    </row>
    <row r="22" spans="1:8" s="4" customFormat="1" ht="12.75">
      <c r="A22" s="125" t="s">
        <v>138</v>
      </c>
      <c r="B22" s="126"/>
      <c r="C22" s="126"/>
      <c r="D22" s="126"/>
      <c r="E22" s="126"/>
      <c r="F22" s="126"/>
      <c r="G22" s="126"/>
      <c r="H22" s="127"/>
    </row>
    <row r="23" spans="1:7" s="4" customFormat="1" ht="12.75">
      <c r="A23" s="122" t="s">
        <v>78</v>
      </c>
      <c r="B23" s="122"/>
      <c r="C23" s="122"/>
      <c r="D23" s="122"/>
      <c r="E23" s="122"/>
      <c r="F23" s="122"/>
      <c r="G23" s="122"/>
    </row>
    <row r="24" spans="1:7" s="4" customFormat="1" ht="60" customHeight="1">
      <c r="A24" s="96" t="s">
        <v>139</v>
      </c>
      <c r="B24" s="97" t="str">
        <f>'додаток 1'!B24</f>
        <v>проведення капітального ремонту житлового фонду ОСББ</v>
      </c>
      <c r="C24" s="14" t="s">
        <v>64</v>
      </c>
      <c r="D24" s="15">
        <f>E24+F24+G24</f>
        <v>237</v>
      </c>
      <c r="E24" s="15">
        <v>73</v>
      </c>
      <c r="F24" s="14">
        <v>78</v>
      </c>
      <c r="G24" s="14">
        <v>86</v>
      </c>
    </row>
    <row r="25" spans="1:7" s="4" customFormat="1" ht="12.75" customHeight="1">
      <c r="A25" s="125" t="s">
        <v>59</v>
      </c>
      <c r="B25" s="126"/>
      <c r="C25" s="126"/>
      <c r="D25" s="126"/>
      <c r="E25" s="126"/>
      <c r="F25" s="126"/>
      <c r="G25" s="126"/>
    </row>
    <row r="26" spans="1:7" s="4" customFormat="1" ht="12.75">
      <c r="A26" s="122" t="s">
        <v>78</v>
      </c>
      <c r="B26" s="122"/>
      <c r="C26" s="122"/>
      <c r="D26" s="122"/>
      <c r="E26" s="122"/>
      <c r="F26" s="122"/>
      <c r="G26" s="122"/>
    </row>
    <row r="27" spans="1:7" s="4" customFormat="1" ht="52.5" customHeight="1">
      <c r="A27" s="115" t="s">
        <v>35</v>
      </c>
      <c r="B27" s="148" t="s">
        <v>60</v>
      </c>
      <c r="C27" s="117" t="s">
        <v>65</v>
      </c>
      <c r="D27" s="150">
        <v>7</v>
      </c>
      <c r="E27" s="117">
        <v>7</v>
      </c>
      <c r="F27" s="117">
        <v>7</v>
      </c>
      <c r="G27" s="117">
        <v>7</v>
      </c>
    </row>
    <row r="28" spans="1:7" s="4" customFormat="1" ht="18.75" customHeight="1">
      <c r="A28" s="123"/>
      <c r="B28" s="149"/>
      <c r="C28" s="118"/>
      <c r="D28" s="151"/>
      <c r="E28" s="118"/>
      <c r="F28" s="118"/>
      <c r="G28" s="118"/>
    </row>
    <row r="29" spans="1:7" s="4" customFormat="1" ht="38.25">
      <c r="A29" s="123"/>
      <c r="B29" s="12" t="s">
        <v>99</v>
      </c>
      <c r="C29" s="14" t="s">
        <v>66</v>
      </c>
      <c r="D29" s="7">
        <f aca="true" t="shared" si="0" ref="D29:D43">E29+F29+G29</f>
        <v>2.063</v>
      </c>
      <c r="E29" s="14">
        <f>1.929+0.134</f>
        <v>2.063</v>
      </c>
      <c r="F29" s="14"/>
      <c r="G29" s="14"/>
    </row>
    <row r="30" spans="1:7" s="4" customFormat="1" ht="38.25">
      <c r="A30" s="123"/>
      <c r="B30" s="12" t="s">
        <v>100</v>
      </c>
      <c r="C30" s="14" t="s">
        <v>66</v>
      </c>
      <c r="D30" s="7">
        <f t="shared" si="0"/>
        <v>1.131</v>
      </c>
      <c r="E30" s="14">
        <f>0.793+0.014+0.324</f>
        <v>1.131</v>
      </c>
      <c r="F30" s="14"/>
      <c r="G30" s="14"/>
    </row>
    <row r="31" spans="1:7" s="4" customFormat="1" ht="24.75" customHeight="1">
      <c r="A31" s="123"/>
      <c r="B31" s="12" t="s">
        <v>96</v>
      </c>
      <c r="C31" s="14"/>
      <c r="D31" s="32"/>
      <c r="E31" s="14"/>
      <c r="F31" s="14"/>
      <c r="G31" s="14"/>
    </row>
    <row r="32" spans="1:7" s="4" customFormat="1" ht="12.75">
      <c r="A32" s="123"/>
      <c r="B32" s="56" t="str">
        <f>'додаток 1'!B31</f>
        <v>покіс трави </v>
      </c>
      <c r="C32" s="14" t="s">
        <v>39</v>
      </c>
      <c r="D32" s="7">
        <f>E32</f>
        <v>3790</v>
      </c>
      <c r="E32" s="61">
        <v>3790</v>
      </c>
      <c r="F32" s="14"/>
      <c r="G32" s="14"/>
    </row>
    <row r="33" spans="1:7" s="4" customFormat="1" ht="27.75" customHeight="1">
      <c r="A33" s="123"/>
      <c r="B33" s="56" t="str">
        <f>'додаток 1'!B32</f>
        <v>навантаження, подрібнення та вивіз опалого листя та гілля </v>
      </c>
      <c r="C33" s="14" t="s">
        <v>76</v>
      </c>
      <c r="D33" s="7">
        <f>E33</f>
        <v>49.38416</v>
      </c>
      <c r="E33" s="61">
        <f>32.241+0.89316+16.25</f>
        <v>49.38416</v>
      </c>
      <c r="F33" s="14"/>
      <c r="G33" s="14"/>
    </row>
    <row r="34" spans="1:7" s="4" customFormat="1" ht="35.25" customHeight="1">
      <c r="A34" s="123"/>
      <c r="B34" s="56" t="str">
        <f>'додаток 1'!B33</f>
        <v>прибирання снігу та посипання території протиожеледними засобами</v>
      </c>
      <c r="C34" s="14" t="s">
        <v>39</v>
      </c>
      <c r="D34" s="40">
        <f>E34</f>
        <v>13595.49</v>
      </c>
      <c r="E34" s="62">
        <v>13595.49</v>
      </c>
      <c r="F34" s="14"/>
      <c r="G34" s="14"/>
    </row>
    <row r="35" spans="1:7" s="4" customFormat="1" ht="74.25" customHeight="1">
      <c r="A35" s="123"/>
      <c r="B35" s="89" t="str">
        <f>'додаток 1'!B34</f>
        <v>виконання робіт з підготовки  схем внутрішньоквартальних доріг, тротуарів, зелених насаджень та пішохідних доріжок у кварталах житлової забудови м.Запоріжжя з визначенням площ</v>
      </c>
      <c r="C35" s="14" t="s">
        <v>48</v>
      </c>
      <c r="D35" s="40">
        <f>E35</f>
        <v>1</v>
      </c>
      <c r="E35" s="94">
        <v>1</v>
      </c>
      <c r="F35" s="14"/>
      <c r="G35" s="14"/>
    </row>
    <row r="36" spans="1:7" s="4" customFormat="1" ht="28.5" customHeight="1">
      <c r="A36" s="123"/>
      <c r="B36" s="6" t="s">
        <v>141</v>
      </c>
      <c r="C36" s="14" t="s">
        <v>64</v>
      </c>
      <c r="D36" s="15">
        <f>E36</f>
        <v>299</v>
      </c>
      <c r="E36" s="15">
        <v>299</v>
      </c>
      <c r="F36" s="14"/>
      <c r="G36" s="14"/>
    </row>
    <row r="37" spans="1:7" s="4" customFormat="1" ht="25.5">
      <c r="A37" s="123"/>
      <c r="B37" s="6" t="s">
        <v>94</v>
      </c>
      <c r="C37" s="14" t="s">
        <v>74</v>
      </c>
      <c r="D37" s="40">
        <f t="shared" si="0"/>
        <v>1823.255</v>
      </c>
      <c r="E37" s="34">
        <f>1250+573.255</f>
        <v>1823.255</v>
      </c>
      <c r="F37" s="14"/>
      <c r="G37" s="14"/>
    </row>
    <row r="38" spans="1:7" s="4" customFormat="1" ht="54" customHeight="1">
      <c r="A38" s="123"/>
      <c r="B38" s="6" t="str">
        <f>'додаток 1'!B37</f>
        <v>проведення державної повірки та ремонт приладів обліку теплової енергії, які встановлені у жилому фонді</v>
      </c>
      <c r="C38" s="14" t="s">
        <v>66</v>
      </c>
      <c r="D38" s="7">
        <f t="shared" si="0"/>
        <v>0.049999999999999996</v>
      </c>
      <c r="E38" s="31">
        <f>0.044+0.011-0.005</f>
        <v>0.049999999999999996</v>
      </c>
      <c r="F38" s="14"/>
      <c r="G38" s="14"/>
    </row>
    <row r="39" spans="1:7" s="4" customFormat="1" ht="40.5" customHeight="1">
      <c r="A39" s="123"/>
      <c r="B39" s="6" t="s">
        <v>143</v>
      </c>
      <c r="C39" s="14" t="s">
        <v>48</v>
      </c>
      <c r="D39" s="60">
        <f t="shared" si="0"/>
        <v>78</v>
      </c>
      <c r="E39" s="60">
        <v>78</v>
      </c>
      <c r="F39" s="14"/>
      <c r="G39" s="14"/>
    </row>
    <row r="40" spans="1:7" s="4" customFormat="1" ht="54.75" customHeight="1">
      <c r="A40" s="123"/>
      <c r="B40" s="18" t="str">
        <f>'додаток 1'!B39</f>
        <v>виготовлення технічної документації на переведення нежитлових приміщень до житлового фонду</v>
      </c>
      <c r="C40" s="14" t="s">
        <v>66</v>
      </c>
      <c r="D40" s="7">
        <f t="shared" si="0"/>
        <v>0.005</v>
      </c>
      <c r="E40" s="14">
        <v>0.005</v>
      </c>
      <c r="F40" s="14"/>
      <c r="G40" s="14"/>
    </row>
    <row r="41" spans="1:7" s="4" customFormat="1" ht="38.25">
      <c r="A41" s="123"/>
      <c r="B41" s="18" t="s">
        <v>89</v>
      </c>
      <c r="C41" s="14" t="s">
        <v>66</v>
      </c>
      <c r="D41" s="7">
        <f t="shared" si="0"/>
        <v>0.595</v>
      </c>
      <c r="E41" s="14">
        <v>0.595</v>
      </c>
      <c r="F41" s="14"/>
      <c r="G41" s="14"/>
    </row>
    <row r="42" spans="1:7" s="4" customFormat="1" ht="29.25" customHeight="1">
      <c r="A42" s="59"/>
      <c r="B42" s="18" t="str">
        <f>'додаток 1'!B41</f>
        <v>виготовлення технічних паспортів на ліфти</v>
      </c>
      <c r="C42" s="14" t="s">
        <v>26</v>
      </c>
      <c r="D42" s="15">
        <f t="shared" si="0"/>
        <v>22</v>
      </c>
      <c r="E42" s="14">
        <v>22</v>
      </c>
      <c r="F42" s="14"/>
      <c r="G42" s="14"/>
    </row>
    <row r="43" spans="1:7" s="4" customFormat="1" ht="25.5">
      <c r="A43" s="59"/>
      <c r="B43" s="18" t="s">
        <v>111</v>
      </c>
      <c r="C43" s="14" t="s">
        <v>112</v>
      </c>
      <c r="D43" s="7">
        <f t="shared" si="0"/>
        <v>0.578</v>
      </c>
      <c r="E43" s="7">
        <v>0.578</v>
      </c>
      <c r="F43" s="14"/>
      <c r="G43" s="14"/>
    </row>
    <row r="44" spans="1:7" s="4" customFormat="1" ht="25.5">
      <c r="A44" s="59"/>
      <c r="B44" s="18" t="s">
        <v>115</v>
      </c>
      <c r="C44" s="14" t="s">
        <v>26</v>
      </c>
      <c r="D44" s="15">
        <f>SUM(E44:G44)</f>
        <v>430</v>
      </c>
      <c r="E44" s="15">
        <v>430</v>
      </c>
      <c r="F44" s="7"/>
      <c r="G44" s="7"/>
    </row>
    <row r="45" spans="1:7" s="4" customFormat="1" ht="25.5">
      <c r="A45" s="59"/>
      <c r="B45" s="18" t="s">
        <v>117</v>
      </c>
      <c r="C45" s="14" t="s">
        <v>26</v>
      </c>
      <c r="D45" s="15">
        <f>SUM(E45:G45)</f>
        <v>313</v>
      </c>
      <c r="E45" s="15">
        <v>313</v>
      </c>
      <c r="F45" s="7"/>
      <c r="G45" s="7"/>
    </row>
    <row r="46" spans="1:8" s="4" customFormat="1" ht="25.5">
      <c r="A46" s="73"/>
      <c r="B46" s="78" t="s">
        <v>120</v>
      </c>
      <c r="C46" s="14" t="s">
        <v>121</v>
      </c>
      <c r="D46" s="14">
        <v>800</v>
      </c>
      <c r="E46" s="15">
        <v>800</v>
      </c>
      <c r="F46" s="7"/>
      <c r="G46" s="7"/>
      <c r="H46" s="7"/>
    </row>
    <row r="47" spans="1:8" s="4" customFormat="1" ht="38.25">
      <c r="A47" s="73"/>
      <c r="B47" s="78" t="s">
        <v>136</v>
      </c>
      <c r="C47" s="14" t="s">
        <v>69</v>
      </c>
      <c r="D47" s="14">
        <f>1</f>
        <v>1</v>
      </c>
      <c r="E47" s="15">
        <v>1</v>
      </c>
      <c r="F47" s="7"/>
      <c r="G47" s="7"/>
      <c r="H47" s="51"/>
    </row>
    <row r="48" spans="1:8" s="4" customFormat="1" ht="25.5">
      <c r="A48" s="74"/>
      <c r="B48" s="78" t="s">
        <v>137</v>
      </c>
      <c r="C48" s="14" t="s">
        <v>64</v>
      </c>
      <c r="D48" s="14">
        <v>1</v>
      </c>
      <c r="E48" s="15">
        <v>1</v>
      </c>
      <c r="F48" s="7"/>
      <c r="G48" s="7"/>
      <c r="H48" s="51"/>
    </row>
    <row r="49" spans="1:7" s="4" customFormat="1" ht="12.75">
      <c r="A49" s="122" t="s">
        <v>55</v>
      </c>
      <c r="B49" s="122"/>
      <c r="C49" s="122"/>
      <c r="D49" s="122"/>
      <c r="E49" s="122"/>
      <c r="F49" s="122"/>
      <c r="G49" s="122"/>
    </row>
    <row r="50" spans="1:7" s="4" customFormat="1" ht="7.5" customHeight="1">
      <c r="A50" s="128" t="s">
        <v>35</v>
      </c>
      <c r="B50" s="19"/>
      <c r="C50" s="14"/>
      <c r="D50" s="34"/>
      <c r="E50" s="34"/>
      <c r="F50" s="34"/>
      <c r="G50" s="34"/>
    </row>
    <row r="51" spans="1:7" s="4" customFormat="1" ht="51">
      <c r="A51" s="128"/>
      <c r="B51" s="19" t="s">
        <v>49</v>
      </c>
      <c r="C51" s="14" t="s">
        <v>39</v>
      </c>
      <c r="D51" s="31">
        <f>E51</f>
        <v>21.813000000000002</v>
      </c>
      <c r="E51" s="7">
        <f>14.47+7.343</f>
        <v>21.813000000000002</v>
      </c>
      <c r="F51" s="50"/>
      <c r="G51" s="50"/>
    </row>
    <row r="52" spans="1:7" s="4" customFormat="1" ht="12.75">
      <c r="A52" s="122" t="s">
        <v>51</v>
      </c>
      <c r="B52" s="122"/>
      <c r="C52" s="122"/>
      <c r="D52" s="122"/>
      <c r="E52" s="122"/>
      <c r="F52" s="122"/>
      <c r="G52" s="122"/>
    </row>
    <row r="53" spans="1:7" s="4" customFormat="1" ht="8.25" customHeight="1">
      <c r="A53" s="115" t="s">
        <v>35</v>
      </c>
      <c r="B53" s="19"/>
      <c r="C53" s="14"/>
      <c r="D53" s="34"/>
      <c r="E53" s="34"/>
      <c r="F53" s="34"/>
      <c r="G53" s="34"/>
    </row>
    <row r="54" spans="1:7" s="4" customFormat="1" ht="55.5" customHeight="1">
      <c r="A54" s="123"/>
      <c r="B54" s="19" t="s">
        <v>49</v>
      </c>
      <c r="C54" s="14" t="s">
        <v>39</v>
      </c>
      <c r="D54" s="31">
        <f>E54</f>
        <v>14.135</v>
      </c>
      <c r="E54" s="31">
        <f>7.936-1.596+7.795</f>
        <v>14.135</v>
      </c>
      <c r="F54" s="50"/>
      <c r="G54" s="50"/>
    </row>
    <row r="55" spans="1:7" s="4" customFormat="1" ht="63.75">
      <c r="A55" s="116"/>
      <c r="B55" s="19" t="s">
        <v>68</v>
      </c>
      <c r="C55" s="14" t="s">
        <v>69</v>
      </c>
      <c r="D55" s="14">
        <f>E55+F55+G55</f>
        <v>1</v>
      </c>
      <c r="E55" s="14">
        <v>1</v>
      </c>
      <c r="F55" s="14"/>
      <c r="G55" s="14"/>
    </row>
    <row r="56" spans="1:7" s="4" customFormat="1" ht="12.75">
      <c r="A56" s="122" t="s">
        <v>53</v>
      </c>
      <c r="B56" s="122"/>
      <c r="C56" s="122"/>
      <c r="D56" s="122"/>
      <c r="E56" s="122"/>
      <c r="F56" s="122"/>
      <c r="G56" s="122"/>
    </row>
    <row r="57" spans="1:7" s="4" customFormat="1" ht="8.25" customHeight="1">
      <c r="A57" s="145" t="s">
        <v>35</v>
      </c>
      <c r="B57" s="19"/>
      <c r="C57" s="14"/>
      <c r="D57" s="14"/>
      <c r="E57" s="14"/>
      <c r="F57" s="14"/>
      <c r="G57" s="14"/>
    </row>
    <row r="58" spans="1:7" s="4" customFormat="1" ht="54.75" customHeight="1">
      <c r="A58" s="153"/>
      <c r="B58" s="19" t="s">
        <v>49</v>
      </c>
      <c r="C58" s="14" t="s">
        <v>39</v>
      </c>
      <c r="D58" s="31">
        <f>E58+F58+G58</f>
        <v>17.99</v>
      </c>
      <c r="E58" s="31">
        <f>13.69+4.3</f>
        <v>17.99</v>
      </c>
      <c r="F58" s="14"/>
      <c r="G58" s="14"/>
    </row>
    <row r="59" spans="1:7" s="4" customFormat="1" ht="63.75">
      <c r="A59" s="146"/>
      <c r="B59" s="19" t="s">
        <v>68</v>
      </c>
      <c r="C59" s="14" t="s">
        <v>69</v>
      </c>
      <c r="D59" s="14">
        <f>E59+F59+G59</f>
        <v>1</v>
      </c>
      <c r="E59" s="14">
        <v>1</v>
      </c>
      <c r="F59" s="14"/>
      <c r="G59" s="14"/>
    </row>
    <row r="60" spans="1:7" s="4" customFormat="1" ht="12.75">
      <c r="A60" s="122" t="s">
        <v>29</v>
      </c>
      <c r="B60" s="122"/>
      <c r="C60" s="122"/>
      <c r="D60" s="122"/>
      <c r="E60" s="122"/>
      <c r="F60" s="122"/>
      <c r="G60" s="122"/>
    </row>
    <row r="61" spans="1:7" s="4" customFormat="1" ht="6" customHeight="1">
      <c r="A61" s="115" t="s">
        <v>35</v>
      </c>
      <c r="B61" s="19"/>
      <c r="C61" s="14"/>
      <c r="D61" s="14"/>
      <c r="E61" s="14"/>
      <c r="F61" s="14"/>
      <c r="G61" s="14"/>
    </row>
    <row r="62" spans="1:7" s="4" customFormat="1" ht="81.75" customHeight="1">
      <c r="A62" s="123"/>
      <c r="B62" s="19" t="s">
        <v>49</v>
      </c>
      <c r="C62" s="14" t="s">
        <v>39</v>
      </c>
      <c r="D62" s="14">
        <f>E62+F62+G62</f>
        <v>19.272</v>
      </c>
      <c r="E62" s="31">
        <f>7.955+11.317</f>
        <v>19.272</v>
      </c>
      <c r="F62" s="14"/>
      <c r="G62" s="14"/>
    </row>
    <row r="63" spans="1:7" s="4" customFormat="1" ht="77.25" customHeight="1">
      <c r="A63" s="116"/>
      <c r="B63" s="19" t="s">
        <v>68</v>
      </c>
      <c r="C63" s="14" t="s">
        <v>69</v>
      </c>
      <c r="D63" s="14">
        <f>E63+F63+G63</f>
        <v>1</v>
      </c>
      <c r="E63" s="60">
        <v>1</v>
      </c>
      <c r="F63" s="14"/>
      <c r="G63" s="14"/>
    </row>
    <row r="64" spans="1:7" s="4" customFormat="1" ht="12.75">
      <c r="A64" s="122" t="s">
        <v>30</v>
      </c>
      <c r="B64" s="122"/>
      <c r="C64" s="122"/>
      <c r="D64" s="122"/>
      <c r="E64" s="122"/>
      <c r="F64" s="122"/>
      <c r="G64" s="122"/>
    </row>
    <row r="65" spans="1:7" s="4" customFormat="1" ht="8.25" customHeight="1">
      <c r="A65" s="115" t="s">
        <v>35</v>
      </c>
      <c r="B65" s="19"/>
      <c r="C65" s="14"/>
      <c r="D65" s="14"/>
      <c r="E65" s="14"/>
      <c r="F65" s="14"/>
      <c r="G65" s="14"/>
    </row>
    <row r="66" spans="1:7" s="4" customFormat="1" ht="48">
      <c r="A66" s="123"/>
      <c r="B66" s="95" t="s">
        <v>49</v>
      </c>
      <c r="C66" s="14" t="s">
        <v>39</v>
      </c>
      <c r="D66" s="31">
        <f>E66+F66+G66</f>
        <v>16.064999999999998</v>
      </c>
      <c r="E66" s="31">
        <f>12.565+3.5</f>
        <v>16.064999999999998</v>
      </c>
      <c r="F66" s="14"/>
      <c r="G66" s="14"/>
    </row>
    <row r="67" spans="1:7" s="4" customFormat="1" ht="48">
      <c r="A67" s="116"/>
      <c r="B67" s="95" t="s">
        <v>68</v>
      </c>
      <c r="C67" s="14" t="s">
        <v>69</v>
      </c>
      <c r="D67" s="14">
        <f>E67+F67+G67</f>
        <v>1</v>
      </c>
      <c r="E67" s="14">
        <v>1</v>
      </c>
      <c r="F67" s="14"/>
      <c r="G67" s="14"/>
    </row>
    <row r="68" spans="1:7" s="4" customFormat="1" ht="12.75">
      <c r="A68" s="122" t="s">
        <v>31</v>
      </c>
      <c r="B68" s="122"/>
      <c r="C68" s="122"/>
      <c r="D68" s="122"/>
      <c r="E68" s="122"/>
      <c r="F68" s="122"/>
      <c r="G68" s="122"/>
    </row>
    <row r="69" spans="1:7" s="4" customFormat="1" ht="5.25" customHeight="1">
      <c r="A69" s="145" t="s">
        <v>35</v>
      </c>
      <c r="B69" s="19"/>
      <c r="C69" s="14"/>
      <c r="D69" s="14"/>
      <c r="E69" s="14"/>
      <c r="F69" s="14"/>
      <c r="G69" s="14"/>
    </row>
    <row r="70" spans="1:7" s="4" customFormat="1" ht="48">
      <c r="A70" s="146"/>
      <c r="B70" s="95" t="s">
        <v>49</v>
      </c>
      <c r="C70" s="14" t="s">
        <v>39</v>
      </c>
      <c r="D70" s="31">
        <f>E70+F70+G70</f>
        <v>17.786</v>
      </c>
      <c r="E70" s="31">
        <f>9.18+8.606</f>
        <v>17.786</v>
      </c>
      <c r="F70" s="14"/>
      <c r="G70" s="14"/>
    </row>
    <row r="71" spans="1:7" s="4" customFormat="1" ht="48">
      <c r="A71" s="74"/>
      <c r="B71" s="95" t="s">
        <v>68</v>
      </c>
      <c r="C71" s="14" t="s">
        <v>69</v>
      </c>
      <c r="D71" s="14">
        <f>E71+F71+G71</f>
        <v>1</v>
      </c>
      <c r="E71" s="14">
        <v>1</v>
      </c>
      <c r="F71" s="14"/>
      <c r="G71" s="14"/>
    </row>
    <row r="72" spans="1:7" s="4" customFormat="1" ht="12.75">
      <c r="A72" s="122" t="s">
        <v>32</v>
      </c>
      <c r="B72" s="122"/>
      <c r="C72" s="122"/>
      <c r="D72" s="122"/>
      <c r="E72" s="122"/>
      <c r="F72" s="122"/>
      <c r="G72" s="122"/>
    </row>
    <row r="73" spans="1:7" s="4" customFormat="1" ht="6.75" customHeight="1">
      <c r="A73" s="145" t="s">
        <v>35</v>
      </c>
      <c r="B73" s="19"/>
      <c r="C73" s="14"/>
      <c r="D73" s="14"/>
      <c r="E73" s="14"/>
      <c r="F73" s="14"/>
      <c r="G73" s="14"/>
    </row>
    <row r="74" spans="1:7" s="4" customFormat="1" ht="49.5" customHeight="1">
      <c r="A74" s="146"/>
      <c r="B74" s="95" t="s">
        <v>49</v>
      </c>
      <c r="C74" s="14" t="s">
        <v>39</v>
      </c>
      <c r="D74" s="31">
        <f>E74</f>
        <v>15.012</v>
      </c>
      <c r="E74" s="31">
        <f>5.663+9.349</f>
        <v>15.012</v>
      </c>
      <c r="F74" s="14"/>
      <c r="G74" s="14"/>
    </row>
    <row r="75" spans="1:8" s="4" customFormat="1" ht="12.75" customHeight="1">
      <c r="A75" s="125" t="s">
        <v>118</v>
      </c>
      <c r="B75" s="126"/>
      <c r="C75" s="126"/>
      <c r="D75" s="126"/>
      <c r="E75" s="126"/>
      <c r="F75" s="126"/>
      <c r="G75" s="126"/>
      <c r="H75" s="127"/>
    </row>
    <row r="76" spans="1:8" s="4" customFormat="1" ht="12.75">
      <c r="A76" s="138" t="s">
        <v>78</v>
      </c>
      <c r="B76" s="139"/>
      <c r="C76" s="139"/>
      <c r="D76" s="139"/>
      <c r="E76" s="139"/>
      <c r="F76" s="139"/>
      <c r="G76" s="140"/>
      <c r="H76" s="3"/>
    </row>
    <row r="77" spans="1:8" s="4" customFormat="1" ht="17.25" customHeight="1">
      <c r="A77" s="115" t="s">
        <v>119</v>
      </c>
      <c r="B77" s="6"/>
      <c r="C77" s="14"/>
      <c r="D77" s="15"/>
      <c r="E77" s="14"/>
      <c r="F77" s="14"/>
      <c r="G77" s="14"/>
      <c r="H77" s="3"/>
    </row>
    <row r="78" spans="1:8" s="4" customFormat="1" ht="25.5" customHeight="1">
      <c r="A78" s="123"/>
      <c r="B78" s="6" t="s">
        <v>127</v>
      </c>
      <c r="C78" s="14" t="s">
        <v>48</v>
      </c>
      <c r="D78" s="15">
        <f>E78+F78+G78</f>
        <v>3</v>
      </c>
      <c r="E78" s="15">
        <v>3</v>
      </c>
      <c r="F78" s="14"/>
      <c r="G78" s="14"/>
      <c r="H78" s="3"/>
    </row>
    <row r="79" spans="1:7" s="4" customFormat="1" ht="12.75">
      <c r="A79" s="125" t="s">
        <v>101</v>
      </c>
      <c r="B79" s="126"/>
      <c r="C79" s="126"/>
      <c r="D79" s="126"/>
      <c r="E79" s="126"/>
      <c r="F79" s="126"/>
      <c r="G79" s="126"/>
    </row>
    <row r="80" spans="1:7" s="4" customFormat="1" ht="12.75">
      <c r="A80" s="122" t="s">
        <v>78</v>
      </c>
      <c r="B80" s="122"/>
      <c r="C80" s="122"/>
      <c r="D80" s="122"/>
      <c r="E80" s="122"/>
      <c r="F80" s="122"/>
      <c r="G80" s="122"/>
    </row>
    <row r="81" spans="1:7" s="4" customFormat="1" ht="4.5" customHeight="1">
      <c r="A81" s="115" t="s">
        <v>102</v>
      </c>
      <c r="B81" s="19"/>
      <c r="C81" s="6"/>
      <c r="D81" s="6"/>
      <c r="E81" s="5"/>
      <c r="F81" s="5"/>
      <c r="G81" s="5"/>
    </row>
    <row r="82" spans="1:8" s="4" customFormat="1" ht="36">
      <c r="A82" s="116"/>
      <c r="B82" s="95" t="s">
        <v>103</v>
      </c>
      <c r="C82" s="14" t="s">
        <v>26</v>
      </c>
      <c r="D82" s="15">
        <f>E82+F82+G82</f>
        <v>293</v>
      </c>
      <c r="E82" s="60">
        <f>216+14+63</f>
        <v>293</v>
      </c>
      <c r="F82" s="14">
        <v>0</v>
      </c>
      <c r="G82" s="14">
        <v>0</v>
      </c>
      <c r="H82" s="4">
        <v>216</v>
      </c>
    </row>
    <row r="83" spans="1:7" s="4" customFormat="1" ht="12.75">
      <c r="A83" s="130" t="s">
        <v>34</v>
      </c>
      <c r="B83" s="147"/>
      <c r="C83" s="147"/>
      <c r="D83" s="147"/>
      <c r="E83" s="147"/>
      <c r="F83" s="147"/>
      <c r="G83" s="147"/>
    </row>
    <row r="84" spans="1:7" s="4" customFormat="1" ht="12.75">
      <c r="A84" s="122" t="s">
        <v>78</v>
      </c>
      <c r="B84" s="122"/>
      <c r="C84" s="122"/>
      <c r="D84" s="122"/>
      <c r="E84" s="122"/>
      <c r="F84" s="122"/>
      <c r="G84" s="122"/>
    </row>
    <row r="85" spans="1:7" s="4" customFormat="1" ht="5.25" customHeight="1">
      <c r="A85" s="115" t="s">
        <v>36</v>
      </c>
      <c r="B85" s="14"/>
      <c r="C85" s="14"/>
      <c r="D85" s="14"/>
      <c r="E85" s="14"/>
      <c r="F85" s="14"/>
      <c r="G85" s="14"/>
    </row>
    <row r="86" spans="1:7" s="4" customFormat="1" ht="25.5" customHeight="1">
      <c r="A86" s="123"/>
      <c r="B86" s="67" t="s">
        <v>44</v>
      </c>
      <c r="C86" s="14" t="s">
        <v>48</v>
      </c>
      <c r="D86" s="15">
        <f>E86+F86+G86</f>
        <v>37</v>
      </c>
      <c r="E86" s="14">
        <f>12+6+6-3-3+2-1+2-1+1+1</f>
        <v>22</v>
      </c>
      <c r="F86" s="14">
        <f>2+3+5</f>
        <v>10</v>
      </c>
      <c r="G86" s="14">
        <f>2+3</f>
        <v>5</v>
      </c>
    </row>
    <row r="87" spans="1:7" s="4" customFormat="1" ht="36">
      <c r="A87" s="123"/>
      <c r="B87" s="67" t="s">
        <v>72</v>
      </c>
      <c r="C87" s="14" t="s">
        <v>40</v>
      </c>
      <c r="D87" s="15">
        <f>E87+F87+G87</f>
        <v>4</v>
      </c>
      <c r="E87" s="14">
        <v>4</v>
      </c>
      <c r="F87" s="14"/>
      <c r="G87" s="14"/>
    </row>
    <row r="88" spans="1:8" s="4" customFormat="1" ht="12.75" customHeight="1">
      <c r="A88" s="125" t="s">
        <v>113</v>
      </c>
      <c r="B88" s="126"/>
      <c r="C88" s="126"/>
      <c r="D88" s="126"/>
      <c r="E88" s="126"/>
      <c r="F88" s="126"/>
      <c r="G88" s="126"/>
      <c r="H88" s="127"/>
    </row>
    <row r="89" spans="1:8" s="4" customFormat="1" ht="12.75">
      <c r="A89" s="138" t="s">
        <v>78</v>
      </c>
      <c r="B89" s="139"/>
      <c r="C89" s="139"/>
      <c r="D89" s="139"/>
      <c r="E89" s="139"/>
      <c r="F89" s="139"/>
      <c r="G89" s="140"/>
      <c r="H89" s="3"/>
    </row>
    <row r="90" spans="1:8" s="4" customFormat="1" ht="8.25" customHeight="1">
      <c r="A90" s="115" t="s">
        <v>114</v>
      </c>
      <c r="B90" s="6"/>
      <c r="C90" s="14"/>
      <c r="D90" s="15"/>
      <c r="E90" s="14"/>
      <c r="F90" s="14"/>
      <c r="G90" s="14"/>
      <c r="H90" s="3"/>
    </row>
    <row r="91" spans="1:8" s="4" customFormat="1" ht="29.25" customHeight="1">
      <c r="A91" s="123"/>
      <c r="B91" s="6" t="s">
        <v>126</v>
      </c>
      <c r="C91" s="14" t="s">
        <v>26</v>
      </c>
      <c r="D91" s="15">
        <f>E91+F91+G91</f>
        <v>1</v>
      </c>
      <c r="E91" s="15">
        <v>1</v>
      </c>
      <c r="F91" s="14"/>
      <c r="G91" s="14"/>
      <c r="H91" s="3"/>
    </row>
    <row r="92" spans="1:7" s="1" customFormat="1" ht="12.75">
      <c r="A92" s="144" t="s">
        <v>62</v>
      </c>
      <c r="B92" s="144"/>
      <c r="C92" s="144"/>
      <c r="D92" s="144"/>
      <c r="E92" s="144"/>
      <c r="F92" s="144"/>
      <c r="G92" s="144"/>
    </row>
    <row r="93" spans="1:7" s="1" customFormat="1" ht="12.75">
      <c r="A93" s="124" t="s">
        <v>78</v>
      </c>
      <c r="B93" s="124"/>
      <c r="C93" s="124"/>
      <c r="D93" s="124"/>
      <c r="E93" s="124"/>
      <c r="F93" s="124"/>
      <c r="G93" s="124"/>
    </row>
    <row r="94" spans="1:7" s="1" customFormat="1" ht="5.25" customHeight="1">
      <c r="A94" s="115" t="s">
        <v>104</v>
      </c>
      <c r="B94" s="16"/>
      <c r="C94" s="3"/>
      <c r="D94" s="12"/>
      <c r="E94" s="12"/>
      <c r="F94" s="12"/>
      <c r="G94" s="12"/>
    </row>
    <row r="95" spans="1:7" s="1" customFormat="1" ht="47.25" customHeight="1">
      <c r="A95" s="123"/>
      <c r="B95" s="67" t="s">
        <v>93</v>
      </c>
      <c r="C95" s="69" t="s">
        <v>40</v>
      </c>
      <c r="D95" s="35">
        <f>E95+F95+G95</f>
        <v>4</v>
      </c>
      <c r="E95" s="35">
        <f>3+1</f>
        <v>4</v>
      </c>
      <c r="F95" s="35"/>
      <c r="G95" s="35"/>
    </row>
    <row r="96" spans="1:7" s="1" customFormat="1" ht="12.75" customHeight="1">
      <c r="A96" s="123"/>
      <c r="B96" s="54" t="s">
        <v>92</v>
      </c>
      <c r="C96" s="52"/>
      <c r="D96" s="52"/>
      <c r="E96" s="52"/>
      <c r="F96" s="52"/>
      <c r="G96" s="53"/>
    </row>
    <row r="97" spans="1:7" s="1" customFormat="1" ht="47.25" customHeight="1">
      <c r="A97" s="116"/>
      <c r="B97" s="67" t="s">
        <v>93</v>
      </c>
      <c r="C97" s="69" t="s">
        <v>40</v>
      </c>
      <c r="D97" s="35">
        <f>E97+F97+G97</f>
        <v>1</v>
      </c>
      <c r="E97" s="35">
        <v>1</v>
      </c>
      <c r="F97" s="35"/>
      <c r="G97" s="35"/>
    </row>
    <row r="98" spans="1:7" s="1" customFormat="1" ht="12.75">
      <c r="A98" s="144" t="str">
        <f>'додаток 1'!A88:H88</f>
        <v>Інші видатки</v>
      </c>
      <c r="B98" s="144"/>
      <c r="C98" s="144"/>
      <c r="D98" s="144"/>
      <c r="E98" s="144"/>
      <c r="F98" s="144"/>
      <c r="G98" s="144"/>
    </row>
    <row r="99" spans="1:7" s="1" customFormat="1" ht="12.75">
      <c r="A99" s="124" t="s">
        <v>78</v>
      </c>
      <c r="B99" s="124"/>
      <c r="C99" s="124"/>
      <c r="D99" s="124"/>
      <c r="E99" s="124"/>
      <c r="F99" s="124"/>
      <c r="G99" s="124"/>
    </row>
    <row r="100" spans="1:7" s="1" customFormat="1" ht="10.5" customHeight="1">
      <c r="A100" s="115" t="s">
        <v>135</v>
      </c>
      <c r="B100" s="16"/>
      <c r="C100" s="3"/>
      <c r="D100" s="12"/>
      <c r="E100" s="12"/>
      <c r="F100" s="12"/>
      <c r="G100" s="12"/>
    </row>
    <row r="101" spans="1:7" s="1" customFormat="1" ht="30" customHeight="1">
      <c r="A101" s="116"/>
      <c r="B101" s="6" t="s">
        <v>134</v>
      </c>
      <c r="C101" s="69" t="s">
        <v>40</v>
      </c>
      <c r="D101" s="35">
        <f>E101+F101+G101</f>
        <v>1</v>
      </c>
      <c r="E101" s="35">
        <v>1</v>
      </c>
      <c r="F101" s="35"/>
      <c r="G101" s="35"/>
    </row>
    <row r="102" spans="1:7" ht="12.75" customHeight="1">
      <c r="A102" s="141" t="s">
        <v>67</v>
      </c>
      <c r="B102" s="142"/>
      <c r="C102" s="142"/>
      <c r="D102" s="142"/>
      <c r="E102" s="142"/>
      <c r="F102" s="142"/>
      <c r="G102" s="143"/>
    </row>
    <row r="103" spans="1:7" ht="12.75">
      <c r="A103" s="124" t="s">
        <v>78</v>
      </c>
      <c r="B103" s="124"/>
      <c r="C103" s="124"/>
      <c r="D103" s="124"/>
      <c r="E103" s="124"/>
      <c r="F103" s="124"/>
      <c r="G103" s="124"/>
    </row>
    <row r="104" spans="1:9" ht="36">
      <c r="A104" s="115" t="s">
        <v>110</v>
      </c>
      <c r="B104" s="67" t="s">
        <v>63</v>
      </c>
      <c r="C104" s="72" t="s">
        <v>26</v>
      </c>
      <c r="D104" s="33">
        <f>E104+F104+G104</f>
        <v>17</v>
      </c>
      <c r="E104" s="36">
        <f>6+1+4-1+3+2+2</f>
        <v>17</v>
      </c>
      <c r="F104" s="36"/>
      <c r="G104" s="36"/>
      <c r="H104" s="13"/>
      <c r="I104" s="13"/>
    </row>
    <row r="105" spans="1:9" s="1" customFormat="1" ht="48" customHeight="1">
      <c r="A105" s="123"/>
      <c r="B105" s="89" t="str">
        <f>'додаток 1'!B94</f>
        <v>капітальний ремонт підвального приміщення будівлі за адресою м.Запоріжжя вулиця Незалежної України 46-А</v>
      </c>
      <c r="C105" s="72" t="s">
        <v>108</v>
      </c>
      <c r="D105" s="36">
        <f>E105+F105+G105</f>
        <v>210</v>
      </c>
      <c r="E105" s="36">
        <v>210</v>
      </c>
      <c r="F105" s="63"/>
      <c r="G105" s="7"/>
      <c r="H105" s="51"/>
      <c r="I105" s="64"/>
    </row>
    <row r="106" spans="1:9" s="1" customFormat="1" ht="36">
      <c r="A106" s="116"/>
      <c r="B106" s="68" t="str">
        <f>'додаток 1'!B95</f>
        <v>капітальний ремонт приміщення будівлі за адресою м.Запоріжжя вулиця Незалежної України 46-А</v>
      </c>
      <c r="C106" s="14" t="s">
        <v>109</v>
      </c>
      <c r="D106" s="65">
        <v>1</v>
      </c>
      <c r="E106" s="66">
        <v>1</v>
      </c>
      <c r="F106" s="63"/>
      <c r="G106" s="7"/>
      <c r="H106" s="51"/>
      <c r="I106" s="64"/>
    </row>
    <row r="107" spans="1:8" s="4" customFormat="1" ht="12.75" customHeight="1">
      <c r="A107" s="125" t="str">
        <f>'додаток 1'!A96:H96</f>
        <v>Виконання інших завдань та заходів</v>
      </c>
      <c r="B107" s="126"/>
      <c r="C107" s="126"/>
      <c r="D107" s="126"/>
      <c r="E107" s="126"/>
      <c r="F107" s="126"/>
      <c r="G107" s="126"/>
      <c r="H107" s="127"/>
    </row>
    <row r="108" spans="1:8" s="4" customFormat="1" ht="12.75">
      <c r="A108" s="138" t="s">
        <v>78</v>
      </c>
      <c r="B108" s="139"/>
      <c r="C108" s="139"/>
      <c r="D108" s="139"/>
      <c r="E108" s="139"/>
      <c r="F108" s="139"/>
      <c r="G108" s="140"/>
      <c r="H108" s="3"/>
    </row>
    <row r="109" spans="1:8" s="4" customFormat="1" ht="8.25" customHeight="1">
      <c r="A109" s="115" t="s">
        <v>131</v>
      </c>
      <c r="B109" s="6"/>
      <c r="C109" s="14"/>
      <c r="D109" s="15"/>
      <c r="E109" s="14"/>
      <c r="F109" s="14"/>
      <c r="G109" s="14"/>
      <c r="H109" s="3"/>
    </row>
    <row r="110" spans="1:8" s="4" customFormat="1" ht="29.25" customHeight="1">
      <c r="A110" s="116"/>
      <c r="B110" s="57" t="s">
        <v>132</v>
      </c>
      <c r="C110" s="14" t="s">
        <v>26</v>
      </c>
      <c r="D110" s="15">
        <f>E110+F110+G110</f>
        <v>47</v>
      </c>
      <c r="E110" s="15">
        <f>31+17-1</f>
        <v>47</v>
      </c>
      <c r="F110" s="14"/>
      <c r="G110" s="14"/>
      <c r="H110" s="3"/>
    </row>
    <row r="111" spans="1:7" s="1" customFormat="1" ht="12.75">
      <c r="A111" s="37"/>
      <c r="B111" s="13"/>
      <c r="C111" s="38"/>
      <c r="D111" s="39"/>
      <c r="E111" s="42"/>
      <c r="F111" s="90"/>
      <c r="G111" s="51"/>
    </row>
    <row r="112" spans="1:7" s="10" customFormat="1" ht="18.75" customHeight="1">
      <c r="A112" s="10" t="s">
        <v>38</v>
      </c>
      <c r="C112" s="30"/>
      <c r="F112" s="129" t="s">
        <v>47</v>
      </c>
      <c r="G112" s="129"/>
    </row>
    <row r="113" spans="1:7" s="4" customFormat="1" ht="25.5" customHeight="1">
      <c r="A113" s="29"/>
      <c r="B113" s="11"/>
      <c r="D113" s="11"/>
      <c r="E113" s="11"/>
      <c r="F113" s="11"/>
      <c r="G113" s="11"/>
    </row>
    <row r="114" spans="1:7" s="4" customFormat="1" ht="17.25" customHeight="1">
      <c r="A114" s="29"/>
      <c r="B114" s="11"/>
      <c r="D114" s="11"/>
      <c r="E114" s="11"/>
      <c r="F114" s="11"/>
      <c r="G114" s="11"/>
    </row>
    <row r="115" spans="1:7" s="4" customFormat="1" ht="12.75">
      <c r="A115" s="29"/>
      <c r="B115" s="11"/>
      <c r="D115" s="11"/>
      <c r="E115" s="11"/>
      <c r="F115" s="11"/>
      <c r="G115" s="11"/>
    </row>
  </sheetData>
  <sheetProtection/>
  <mergeCells count="65">
    <mergeCell ref="A104:A106"/>
    <mergeCell ref="A25:G25"/>
    <mergeCell ref="F112:G112"/>
    <mergeCell ref="A61:A63"/>
    <mergeCell ref="A65:A67"/>
    <mergeCell ref="G27:G28"/>
    <mergeCell ref="A27:A41"/>
    <mergeCell ref="A57:A59"/>
    <mergeCell ref="A60:G60"/>
    <mergeCell ref="A64:G64"/>
    <mergeCell ref="E16:G16"/>
    <mergeCell ref="E5:F5"/>
    <mergeCell ref="E6:F6"/>
    <mergeCell ref="E7:F7"/>
    <mergeCell ref="E9:G9"/>
    <mergeCell ref="E10:G10"/>
    <mergeCell ref="A13:G13"/>
    <mergeCell ref="A12:G12"/>
    <mergeCell ref="D27:D28"/>
    <mergeCell ref="E27:E28"/>
    <mergeCell ref="F27:F28"/>
    <mergeCell ref="A23:G23"/>
    <mergeCell ref="A22:H22"/>
    <mergeCell ref="A15:A17"/>
    <mergeCell ref="B15:B17"/>
    <mergeCell ref="C15:C17"/>
    <mergeCell ref="D15:G15"/>
    <mergeCell ref="D16:D17"/>
    <mergeCell ref="A49:G49"/>
    <mergeCell ref="A50:A51"/>
    <mergeCell ref="A52:G52"/>
    <mergeCell ref="A56:G56"/>
    <mergeCell ref="A53:A55"/>
    <mergeCell ref="A19:G19"/>
    <mergeCell ref="A20:G20"/>
    <mergeCell ref="A26:G26"/>
    <mergeCell ref="B27:B28"/>
    <mergeCell ref="C27:C28"/>
    <mergeCell ref="A81:A82"/>
    <mergeCell ref="A80:G80"/>
    <mergeCell ref="A75:H75"/>
    <mergeCell ref="A76:G76"/>
    <mergeCell ref="A79:G79"/>
    <mergeCell ref="A68:G68"/>
    <mergeCell ref="A69:A70"/>
    <mergeCell ref="A92:G92"/>
    <mergeCell ref="A93:G93"/>
    <mergeCell ref="A98:G98"/>
    <mergeCell ref="A99:G99"/>
    <mergeCell ref="A100:A101"/>
    <mergeCell ref="A72:G72"/>
    <mergeCell ref="A73:A74"/>
    <mergeCell ref="A83:G83"/>
    <mergeCell ref="A84:G84"/>
    <mergeCell ref="A94:A97"/>
    <mergeCell ref="A107:H107"/>
    <mergeCell ref="A108:G108"/>
    <mergeCell ref="A109:A110"/>
    <mergeCell ref="A77:A78"/>
    <mergeCell ref="A88:H88"/>
    <mergeCell ref="A89:G89"/>
    <mergeCell ref="A90:A91"/>
    <mergeCell ref="A85:A87"/>
    <mergeCell ref="A102:G102"/>
    <mergeCell ref="A103:G103"/>
  </mergeCells>
  <printOptions/>
  <pageMargins left="0.984251968503937" right="0.3937007874015748" top="1.1811023622047245" bottom="0.3937007874015748" header="0.7874015748031497" footer="0"/>
  <pageSetup fitToHeight="25" horizontalDpi="600" verticalDpi="600" orientation="landscape" paperSize="9" scale="98" r:id="rId1"/>
  <headerFooter differentFirst="1" alignWithMargins="0">
    <oddHeader>&amp;C&amp;P</oddHeader>
  </headerFooter>
  <rowBreaks count="2" manualBreakCount="2">
    <brk id="71" max="6" man="1"/>
    <brk id="9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C3"/>
  <sheetViews>
    <sheetView zoomScalePageLayoutView="0" workbookViewId="0" topLeftCell="A1">
      <selection activeCell="G14" sqref="G14"/>
    </sheetView>
  </sheetViews>
  <sheetFormatPr defaultColWidth="9.140625" defaultRowHeight="12.75"/>
  <sheetData>
    <row r="2" spans="2:3" ht="12.75">
      <c r="B2" s="44">
        <v>2018</v>
      </c>
      <c r="C2" s="44">
        <v>2019</v>
      </c>
    </row>
    <row r="3" spans="1:3" ht="12.75">
      <c r="A3" s="46" t="s">
        <v>86</v>
      </c>
      <c r="B3" s="45">
        <v>1.0688</v>
      </c>
      <c r="C3" s="45">
        <v>1.052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" sqref="B5:B1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2017-09-21T15:47:35Z</cp:lastPrinted>
  <dcterms:created xsi:type="dcterms:W3CDTF">1996-10-08T23:32:33Z</dcterms:created>
  <dcterms:modified xsi:type="dcterms:W3CDTF">2017-09-21T15:47:44Z</dcterms:modified>
  <cp:category/>
  <cp:version/>
  <cp:contentType/>
  <cp:contentStatus/>
</cp:coreProperties>
</file>