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381" yWindow="64861" windowWidth="10980" windowHeight="5670" tabRatio="601" activeTab="0"/>
  </bookViews>
  <sheets>
    <sheet name="Місто" sheetId="1" r:id="rId1"/>
  </sheets>
  <externalReferences>
    <externalReference r:id="rId4"/>
  </externalReferences>
  <definedNames>
    <definedName name="_xlnm.Print_Area" localSheetId="0">'Місто'!$A$1:$J$895</definedName>
  </definedNames>
  <calcPr fullCalcOnLoad="1"/>
</workbook>
</file>

<file path=xl/sharedStrings.xml><?xml version="1.0" encoding="utf-8"?>
<sst xmlns="http://schemas.openxmlformats.org/spreadsheetml/2006/main" count="4329" uniqueCount="1380">
  <si>
    <t>1010180</t>
  </si>
  <si>
    <t>1410180</t>
  </si>
  <si>
    <t>1510180</t>
  </si>
  <si>
    <t>Служби технічного нагляду за будівництвом та капітальним ремонтом,централізовані бухгалтерії, групи централізованого господарського обслуговування</t>
  </si>
  <si>
    <t>2010180</t>
  </si>
  <si>
    <t>2310180</t>
  </si>
  <si>
    <t>2410180</t>
  </si>
  <si>
    <t>3210180</t>
  </si>
  <si>
    <t>4010180</t>
  </si>
  <si>
    <t>4510180</t>
  </si>
  <si>
    <t>4810180</t>
  </si>
  <si>
    <t>5010180</t>
  </si>
  <si>
    <t>5610180</t>
  </si>
  <si>
    <t>6010180</t>
  </si>
  <si>
    <t>6510180</t>
  </si>
  <si>
    <t>6710180</t>
  </si>
  <si>
    <t>6717840</t>
  </si>
  <si>
    <t>7310180</t>
  </si>
  <si>
    <t>7510180</t>
  </si>
  <si>
    <t>9010180</t>
  </si>
  <si>
    <t>9110180</t>
  </si>
  <si>
    <t>9210180</t>
  </si>
  <si>
    <t>9310180</t>
  </si>
  <si>
    <t>9410180</t>
  </si>
  <si>
    <t>9510180</t>
  </si>
  <si>
    <t>9610180</t>
  </si>
  <si>
    <t xml:space="preserve">Видатки на запобігання та ліквідацію надзвичайних ситуацій та наслідків стихійного лиха </t>
  </si>
  <si>
    <t>Компенсаційні виплати на пільговий проїзд автомобільним транспортом окремим категоріям громадян</t>
  </si>
  <si>
    <t>090214</t>
  </si>
  <si>
    <t>070303</t>
  </si>
  <si>
    <t>010116</t>
  </si>
  <si>
    <t>070201</t>
  </si>
  <si>
    <t>070401</t>
  </si>
  <si>
    <t>070802</t>
  </si>
  <si>
    <t>070804</t>
  </si>
  <si>
    <t>070805</t>
  </si>
  <si>
    <t>080101</t>
  </si>
  <si>
    <t>080300</t>
  </si>
  <si>
    <t>080500</t>
  </si>
  <si>
    <t>080704</t>
  </si>
  <si>
    <t>081002</t>
  </si>
  <si>
    <t>081003</t>
  </si>
  <si>
    <t>081004</t>
  </si>
  <si>
    <t>090412</t>
  </si>
  <si>
    <t>091103</t>
  </si>
  <si>
    <t>091204</t>
  </si>
  <si>
    <t>Театри</t>
  </si>
  <si>
    <t>Бібліотеки</t>
  </si>
  <si>
    <t>Школи естетичного виховання дітей</t>
  </si>
  <si>
    <t>210105</t>
  </si>
  <si>
    <t>250404</t>
  </si>
  <si>
    <t>Всього видатків</t>
  </si>
  <si>
    <t>070101</t>
  </si>
  <si>
    <t>070202</t>
  </si>
  <si>
    <t>070304</t>
  </si>
  <si>
    <t>080203</t>
  </si>
  <si>
    <t>250203</t>
  </si>
  <si>
    <t>170102</t>
  </si>
  <si>
    <t>170602</t>
  </si>
  <si>
    <t>091209</t>
  </si>
  <si>
    <t>090203</t>
  </si>
  <si>
    <t>090209</t>
  </si>
  <si>
    <t>081009</t>
  </si>
  <si>
    <t>150101</t>
  </si>
  <si>
    <t>130112</t>
  </si>
  <si>
    <t>до рішення  міської ради</t>
  </si>
  <si>
    <t>091101</t>
  </si>
  <si>
    <t>091102</t>
  </si>
  <si>
    <t>Палаци і будинки культури, клуби та інші заклади клубного типу</t>
  </si>
  <si>
    <t>Охорона та раціональне використання природних ресурсів</t>
  </si>
  <si>
    <t>150121</t>
  </si>
  <si>
    <t>180409</t>
  </si>
  <si>
    <t>091108</t>
  </si>
  <si>
    <t>Забезпечення централізованих заходів з лікування хворих на цукровий та нецукровий діабет</t>
  </si>
  <si>
    <t>100102</t>
  </si>
  <si>
    <t>120100</t>
  </si>
  <si>
    <t>110300</t>
  </si>
  <si>
    <t>Кінематографія</t>
  </si>
  <si>
    <t>100103</t>
  </si>
  <si>
    <t>070808</t>
  </si>
  <si>
    <t>170302</t>
  </si>
  <si>
    <t>Компенсаційні виплати за пільговий проїзд окремих категорій громадян на залізничному транспорті</t>
  </si>
  <si>
    <t>170203</t>
  </si>
  <si>
    <t>Програми і заходи центрів соціальних служб для сім'ї, дітей та молоді</t>
  </si>
  <si>
    <t>250344</t>
  </si>
  <si>
    <t>170603</t>
  </si>
  <si>
    <t>070803</t>
  </si>
  <si>
    <t>Компенсаційні виплати за пільговий проїзд окремих категорій громадян на  водному транспорті</t>
  </si>
  <si>
    <t>Інші заходи у сфері електротранспорту</t>
  </si>
  <si>
    <t>100203</t>
  </si>
  <si>
    <t>070806</t>
  </si>
  <si>
    <t>Благоустрій міст, сіл, селищ</t>
  </si>
  <si>
    <t>091205</t>
  </si>
  <si>
    <t>Департамент архітектури та містобудування Запорізької міської ради</t>
  </si>
  <si>
    <t>Департамент комунальної власності та приватизації Запорізької міської ради</t>
  </si>
  <si>
    <t>Департамент фінансової та бюджетної політики Запорізької міської ради</t>
  </si>
  <si>
    <t>Управління з питань екологічної безпеки Запорізької міської ради</t>
  </si>
  <si>
    <t>Управління з питань попередження надзвичайних ситуацій та цивільного захисту населення Запорізької міської ради</t>
  </si>
  <si>
    <t>Управління з питань транспортного забезпечення та зв'язку Запорізької міської ради</t>
  </si>
  <si>
    <t>Управління соціального захисту населення Запорізької міської ради</t>
  </si>
  <si>
    <t xml:space="preserve"> Районна адміністрація Запорізької міської ради по Хортицькому району</t>
  </si>
  <si>
    <t xml:space="preserve"> Районна адміністрація Запорізької міської ради по Заводському району</t>
  </si>
  <si>
    <t xml:space="preserve"> Районна адміністрація Запорізької міської ради по Комунарському району</t>
  </si>
  <si>
    <t xml:space="preserve"> Районна адміністрація Запорізької міської ради по Шевченківському району</t>
  </si>
  <si>
    <t>Інспекція з благоустрою Запорізької міської ради</t>
  </si>
  <si>
    <t>Управління з питань земельних відносин Запорізької міської ради</t>
  </si>
  <si>
    <t>160101</t>
  </si>
  <si>
    <t>Служба (управління) у справах дітей Запорізької міської ради</t>
  </si>
  <si>
    <t>Виконавчий комітет Запорізької міської ради</t>
  </si>
  <si>
    <t>Департамент економічного розвитку Запорізької міської ради</t>
  </si>
  <si>
    <t>Субвенція з місцевого бюджету державному бюджету на виконання програм соціально-економічного та культурного розвитку регіонів</t>
  </si>
  <si>
    <t>90</t>
  </si>
  <si>
    <t>91</t>
  </si>
  <si>
    <t>92</t>
  </si>
  <si>
    <t>93</t>
  </si>
  <si>
    <t>94</t>
  </si>
  <si>
    <t>95</t>
  </si>
  <si>
    <t>96</t>
  </si>
  <si>
    <t>23</t>
  </si>
  <si>
    <t>10</t>
  </si>
  <si>
    <t>14</t>
  </si>
  <si>
    <t>15</t>
  </si>
  <si>
    <t>20</t>
  </si>
  <si>
    <t>67</t>
  </si>
  <si>
    <t>40</t>
  </si>
  <si>
    <t>45</t>
  </si>
  <si>
    <t>32</t>
  </si>
  <si>
    <t>24</t>
  </si>
  <si>
    <t>65</t>
  </si>
  <si>
    <t>48</t>
  </si>
  <si>
    <t>60</t>
  </si>
  <si>
    <t>50</t>
  </si>
  <si>
    <t>75</t>
  </si>
  <si>
    <t>76</t>
  </si>
  <si>
    <t>73</t>
  </si>
  <si>
    <t>56</t>
  </si>
  <si>
    <t>0300000</t>
  </si>
  <si>
    <t>0310000</t>
  </si>
  <si>
    <t>Підтримка періодичних видань (газет та журналів)</t>
  </si>
  <si>
    <t>0316310</t>
  </si>
  <si>
    <t>Реалізація заходів щодо інвестиційного розвитку території</t>
  </si>
  <si>
    <t>0318010</t>
  </si>
  <si>
    <t>Підготовка та проведення масових заходів, забезпечення відео контролю у місцях масового перебування громадян</t>
  </si>
  <si>
    <t>Автотранспортне та господарське обслуговування структурних підрозділів та виконавчого комітету міської ради</t>
  </si>
  <si>
    <t>1000000</t>
  </si>
  <si>
    <t>1010000</t>
  </si>
  <si>
    <t>Дошкільна освіта</t>
  </si>
  <si>
    <t>1011010</t>
  </si>
  <si>
    <t>1011020</t>
  </si>
  <si>
    <t>Надання загальної середньої освіти загальноосвітніми навчальними закладами (в т.ч.школою-дитячим садком, інтернатом при школі), спеціалізованими школами, ліцеями, гімназіями, колегіумами</t>
  </si>
  <si>
    <t>Надання загальної середньої освіти вечірніми (змінними) школами</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</si>
  <si>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</si>
  <si>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Надання позашкільної освіти позашкільними закладами освіти, заходи із позашкільної роботи з дітьми</t>
  </si>
  <si>
    <t>1011170</t>
  </si>
  <si>
    <t>Методичне забезпечення діяльності навчальних закладів та інші заходи в галузі освіти</t>
  </si>
  <si>
    <t>1011180</t>
  </si>
  <si>
    <t>Здійснення технічного нагляду за будівництвом і капітальним ремонтом та іншими окремими господарськими функціями</t>
  </si>
  <si>
    <t>1011190</t>
  </si>
  <si>
    <t>Централізоване ведення бухгалтерського обліку</t>
  </si>
  <si>
    <t>1011200</t>
  </si>
  <si>
    <t>Здійснення централізованого господарського обслуговування</t>
  </si>
  <si>
    <t>1011210</t>
  </si>
  <si>
    <t>Утримання інших закладів освіти</t>
  </si>
  <si>
    <t>Надання допомоги дітям-сиротам та дітям, позбавленим батьківського піклування, яким виповнюється 18 років</t>
  </si>
  <si>
    <t>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</si>
  <si>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Проведення навчально-тренувальних зборів і змагань з олімпійських видів спорту</t>
  </si>
  <si>
    <t>Заходи з виховання у населення активної соціальної орієнтації на здоровий спосіб життя та оздоровлення населення засобами фізичної культури та спорту</t>
  </si>
  <si>
    <t>1016310</t>
  </si>
  <si>
    <t>1400000</t>
  </si>
  <si>
    <t>1410000</t>
  </si>
  <si>
    <t>1412010</t>
  </si>
  <si>
    <t>Багатопрофільна стаціонарна медична допомога населенню</t>
  </si>
  <si>
    <t>1412050</t>
  </si>
  <si>
    <t>1412120</t>
  </si>
  <si>
    <t>Амбулаторно-поліклінічна допомога населенню</t>
  </si>
  <si>
    <t>1412140</t>
  </si>
  <si>
    <t>Надання стоматологічної допомоги населенню</t>
  </si>
  <si>
    <t>1412170</t>
  </si>
  <si>
    <t>Інформаційно-методичне та просвітницьке забезпечення в галузі охорони здоров'я</t>
  </si>
  <si>
    <t>1412200</t>
  </si>
  <si>
    <t>Централізований бухгалтерський та фінансовий облік закладів охорони здоров'я</t>
  </si>
  <si>
    <t>1416310</t>
  </si>
  <si>
    <t>1500000</t>
  </si>
  <si>
    <t>1510000</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</si>
  <si>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</si>
  <si>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</si>
  <si>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Надання фінансової підтримки громадським організаціям інвалідів і ветеранів, діяльність яких має соціальну спрямованість</t>
  </si>
  <si>
    <t>1516310</t>
  </si>
  <si>
    <t>2000000</t>
  </si>
  <si>
    <t>2010000</t>
  </si>
  <si>
    <t>2300000</t>
  </si>
  <si>
    <t>2310000</t>
  </si>
  <si>
    <t>2400000</t>
  </si>
  <si>
    <t>2410000</t>
  </si>
  <si>
    <t>2414020</t>
  </si>
  <si>
    <t>2414060</t>
  </si>
  <si>
    <t>2414090</t>
  </si>
  <si>
    <t>2414110</t>
  </si>
  <si>
    <t>110502</t>
  </si>
  <si>
    <t>Централізований бухгалтерський та фінансовий облік закладів культури</t>
  </si>
  <si>
    <t>Культурно-мистецькі заходи</t>
  </si>
  <si>
    <t>Відродження народних традицій та методичне забезпечення закладів культури</t>
  </si>
  <si>
    <t>Оцінка вартості пам’яток історії та монументального мистецтва</t>
  </si>
  <si>
    <t>2416310</t>
  </si>
  <si>
    <t>3200000</t>
  </si>
  <si>
    <t>3210000</t>
  </si>
  <si>
    <t>4000000</t>
  </si>
  <si>
    <t>4010000</t>
  </si>
  <si>
    <t>4016030</t>
  </si>
  <si>
    <t>Фінансова підтримка об'єктів житлово-комунального господарства</t>
  </si>
  <si>
    <t>4016310</t>
  </si>
  <si>
    <t>Внески до статутного капіталу суб'єктів господарювання</t>
  </si>
  <si>
    <t>4500000</t>
  </si>
  <si>
    <t>4510000</t>
  </si>
  <si>
    <t>4800000</t>
  </si>
  <si>
    <t>4810000</t>
  </si>
  <si>
    <t>5000000</t>
  </si>
  <si>
    <t>5010000</t>
  </si>
  <si>
    <t>5600000</t>
  </si>
  <si>
    <t>5610000</t>
  </si>
  <si>
    <t>Проведення заходів із землеустрою</t>
  </si>
  <si>
    <t>6000000</t>
  </si>
  <si>
    <t>6010000</t>
  </si>
  <si>
    <t>6500000</t>
  </si>
  <si>
    <t>6510000</t>
  </si>
  <si>
    <t>Сприяння діяльності телебачення і радіомовлення</t>
  </si>
  <si>
    <t>6516700</t>
  </si>
  <si>
    <t>Ремонт, експлуатація та утримання пасажирських понтонів</t>
  </si>
  <si>
    <t>6700000</t>
  </si>
  <si>
    <t>6710000</t>
  </si>
  <si>
    <t xml:space="preserve">Організація рятування на водах </t>
  </si>
  <si>
    <t>7300000</t>
  </si>
  <si>
    <t>7310000</t>
  </si>
  <si>
    <t>7316310</t>
  </si>
  <si>
    <t>Попередження аварій та запобігання техногенним катастрофам у житлово-комунальному господарстві та на інших аварійних об'єктах комунальної власності</t>
  </si>
  <si>
    <t>7500000</t>
  </si>
  <si>
    <t>7510000</t>
  </si>
  <si>
    <t>7600000</t>
  </si>
  <si>
    <t>7610000</t>
  </si>
  <si>
    <t>9000000</t>
  </si>
  <si>
    <t>9010000</t>
  </si>
  <si>
    <t>9016310</t>
  </si>
  <si>
    <t>9100000</t>
  </si>
  <si>
    <t>9110000</t>
  </si>
  <si>
    <t>Районна адміністрація Запорізької міської ради по Хортицькому району</t>
  </si>
  <si>
    <t>9200000</t>
  </si>
  <si>
    <t>9210000</t>
  </si>
  <si>
    <t>9216310</t>
  </si>
  <si>
    <t>9300000</t>
  </si>
  <si>
    <t>9310000</t>
  </si>
  <si>
    <t>9316310</t>
  </si>
  <si>
    <t>9400000</t>
  </si>
  <si>
    <t>9410000</t>
  </si>
  <si>
    <t>9500000</t>
  </si>
  <si>
    <t>9510000</t>
  </si>
  <si>
    <t>9600000</t>
  </si>
  <si>
    <t>9610000</t>
  </si>
  <si>
    <t>9516310</t>
  </si>
  <si>
    <t>Секретар міської ради</t>
  </si>
  <si>
    <t>Керівництво і управління у сфері охорони здоров'я</t>
  </si>
  <si>
    <t>Керівництво і управління у сфері освіти і науки, молоді та спорту</t>
  </si>
  <si>
    <t>Керівництво і управління у сфері соціального захисту населення</t>
  </si>
  <si>
    <t>Керівництво і управління у сфері справ дітей</t>
  </si>
  <si>
    <t>Керівництво і управління у сфері містобудування та архітектури</t>
  </si>
  <si>
    <t>Керівництво і управління у сфері земельних відносин</t>
  </si>
  <si>
    <t>Керівництво і управління у сфері техногенно-екологічної безпеки цивільного захисту та надзвичайних ситуацій</t>
  </si>
  <si>
    <t>Керівництво і управління у сфері соціально-економічного розвитку</t>
  </si>
  <si>
    <t>Керівництво і управління у сфері бюджету та фінансів</t>
  </si>
  <si>
    <t>Керівництво і управління у сфері житлово-комунального господарства</t>
  </si>
  <si>
    <t>Керівництво і управління у сфері контролю за дотриманням законодавства про благоустрій</t>
  </si>
  <si>
    <t>03</t>
  </si>
  <si>
    <t>150118</t>
  </si>
  <si>
    <t>Будівництво та придбання житла для окремих категорій населення</t>
  </si>
  <si>
    <t>Компенсаційні виплати на пільговий проїзд електротранспортом окремим категоріям громадян</t>
  </si>
  <si>
    <t>150107</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</si>
  <si>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t>
  </si>
  <si>
    <t>Підготовка та проведення масових заходів, забезпечення відеоконтролю у місцях масового перебування громадян</t>
  </si>
  <si>
    <t>100101</t>
  </si>
  <si>
    <t>180404</t>
  </si>
  <si>
    <t>3216310</t>
  </si>
  <si>
    <t>9116310</t>
  </si>
  <si>
    <t>2414100</t>
  </si>
  <si>
    <t>Інші видатки на соціальний захист населення</t>
  </si>
  <si>
    <t>4016010</t>
  </si>
  <si>
    <t>Забезпечення надійного та безперебійного функціонування житлово-експлуатаційного господарства</t>
  </si>
  <si>
    <t xml:space="preserve">Капітальний ремонт житлового фонду </t>
  </si>
  <si>
    <t>171000</t>
  </si>
  <si>
    <t>Пдготовка та проведення масових заходів, забезпечення відеоконтролю у місцях масового перебування громадян</t>
  </si>
  <si>
    <t>Інші видатки у сфері житлового-комунального господарства та фінансування заходів з дезінсекції та дератизації</t>
  </si>
  <si>
    <t>Інші видатки в сфері житлово-комунального господарства та фінансування зоходів з дезінсекції та дератизації</t>
  </si>
  <si>
    <t>1513031</t>
  </si>
  <si>
    <t>1513033</t>
  </si>
  <si>
    <t>1513034</t>
  </si>
  <si>
    <t>1513035</t>
  </si>
  <si>
    <t>1513036</t>
  </si>
  <si>
    <t>1513037</t>
  </si>
  <si>
    <t>1513038</t>
  </si>
  <si>
    <t>1412210</t>
  </si>
  <si>
    <t>4818604</t>
  </si>
  <si>
    <t>Заходи з інвентаризації, оцінки та оформлення права власності об’єктів нерухомості, утримання та охорона об'єктів комунальної власності</t>
  </si>
  <si>
    <t>5617310</t>
  </si>
  <si>
    <t>7518607</t>
  </si>
  <si>
    <t>9018602</t>
  </si>
  <si>
    <t>9118602</t>
  </si>
  <si>
    <t>9218602</t>
  </si>
  <si>
    <t>9318602</t>
  </si>
  <si>
    <t>9418602</t>
  </si>
  <si>
    <t>9518602</t>
  </si>
  <si>
    <t>9618602</t>
  </si>
  <si>
    <t>0318607</t>
  </si>
  <si>
    <t>0318601</t>
  </si>
  <si>
    <t>3218606</t>
  </si>
  <si>
    <t>0317212</t>
  </si>
  <si>
    <t>Центри соціальних служб для сім'ї, дітей та молоді</t>
  </si>
  <si>
    <t>1013131</t>
  </si>
  <si>
    <t>1013132</t>
  </si>
  <si>
    <t>1013140</t>
  </si>
  <si>
    <t>1013160</t>
  </si>
  <si>
    <t>Заходи державної політики з питань молоді</t>
  </si>
  <si>
    <t>1513401</t>
  </si>
  <si>
    <t>1513104</t>
  </si>
  <si>
    <t>1513181</t>
  </si>
  <si>
    <t>1513202</t>
  </si>
  <si>
    <t>Утримання та навчально-тренувальна робота комунальних дитячо-юнацьких спортивних шкіл</t>
  </si>
  <si>
    <t>4016021</t>
  </si>
  <si>
    <t>4018602</t>
  </si>
  <si>
    <t>6516701</t>
  </si>
  <si>
    <t>6717810</t>
  </si>
  <si>
    <t>7316400</t>
  </si>
  <si>
    <t>9016060</t>
  </si>
  <si>
    <t>9018603</t>
  </si>
  <si>
    <t>9118603</t>
  </si>
  <si>
    <t>9218603</t>
  </si>
  <si>
    <t>9318603</t>
  </si>
  <si>
    <t>9418603</t>
  </si>
  <si>
    <t>9518603</t>
  </si>
  <si>
    <t>9618603</t>
  </si>
  <si>
    <t>9116060</t>
  </si>
  <si>
    <t>9216060</t>
  </si>
  <si>
    <t>9316060</t>
  </si>
  <si>
    <t>9416060</t>
  </si>
  <si>
    <t>9516060</t>
  </si>
  <si>
    <t>9616060</t>
  </si>
  <si>
    <t>Лкарсько-акушерська допомога вагітним, породіллям та новонародженим</t>
  </si>
  <si>
    <t xml:space="preserve">Забезпечення окремих категорій хворих лікарськими засобами, виробами медичного призначення, обладнанням, які спрямовані на збереження життя хворих, попередження ускладнень в перебігу хвороби </t>
  </si>
  <si>
    <t>0318606</t>
  </si>
  <si>
    <t>Медична статистика та інформаційна підтримка виконання програм по галузі охорони здоров'я міста</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</si>
  <si>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</si>
  <si>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1513400</t>
  </si>
  <si>
    <t>Інші культурно-освітні заклади та заходи</t>
  </si>
  <si>
    <t>Інші видатки</t>
  </si>
  <si>
    <t>Діяльність і послуги, не віднесені до інших категорій</t>
  </si>
  <si>
    <t>0318600</t>
  </si>
  <si>
    <t>3218600</t>
  </si>
  <si>
    <t>4018600</t>
  </si>
  <si>
    <t>4518600</t>
  </si>
  <si>
    <t>4818600</t>
  </si>
  <si>
    <t>7518600</t>
  </si>
  <si>
    <t>9018600</t>
  </si>
  <si>
    <t>9118600</t>
  </si>
  <si>
    <t>9218600</t>
  </si>
  <si>
    <t>9318600</t>
  </si>
  <si>
    <t>9418600</t>
  </si>
  <si>
    <t>9518600</t>
  </si>
  <si>
    <t>9618600</t>
  </si>
  <si>
    <t>Утримання та розвиток інфраструктури доріг</t>
  </si>
  <si>
    <t>Фінансова підтримка комунальних підприємств, організацій, органів самоорганізації населення, оплата громадських робіт в житлово-комунальному господарстві</t>
  </si>
  <si>
    <t>4518605</t>
  </si>
  <si>
    <t>4018605</t>
  </si>
  <si>
    <t>0318603</t>
  </si>
  <si>
    <t>9418605</t>
  </si>
  <si>
    <t>9018605</t>
  </si>
  <si>
    <t>9218605</t>
  </si>
  <si>
    <t>9318605</t>
  </si>
  <si>
    <t>6518602</t>
  </si>
  <si>
    <t>6518600</t>
  </si>
  <si>
    <t>9018608</t>
  </si>
  <si>
    <t>9118608</t>
  </si>
  <si>
    <t>9218608</t>
  </si>
  <si>
    <t>9318608</t>
  </si>
  <si>
    <t>9418608</t>
  </si>
  <si>
    <t>9518608</t>
  </si>
  <si>
    <t>7318602</t>
  </si>
  <si>
    <t>Інші заходи в галузі охорони здоров'я</t>
  </si>
  <si>
    <t>0316322</t>
  </si>
  <si>
    <t>1513131</t>
  </si>
  <si>
    <t>1513132</t>
  </si>
  <si>
    <t>130106</t>
  </si>
  <si>
    <t>Проведення навчально-тренувальних зборів і змагань з неолімпійських видів спорту</t>
  </si>
  <si>
    <t>100106</t>
  </si>
  <si>
    <t>Капітальний ремонт житлового фонду об'єднань співвласників багатоквартирних будинків</t>
  </si>
  <si>
    <t>4016022</t>
  </si>
  <si>
    <t>9618608</t>
  </si>
  <si>
    <t>6018602</t>
  </si>
  <si>
    <t>9018606</t>
  </si>
  <si>
    <t>9118606</t>
  </si>
  <si>
    <t>9218606</t>
  </si>
  <si>
    <t>9318606</t>
  </si>
  <si>
    <t>9418606</t>
  </si>
  <si>
    <t>9518606</t>
  </si>
  <si>
    <t>9618606</t>
  </si>
  <si>
    <t>9518605</t>
  </si>
  <si>
    <t>9618605</t>
  </si>
  <si>
    <t>9118605</t>
  </si>
  <si>
    <t>4016324</t>
  </si>
  <si>
    <t>6516310</t>
  </si>
  <si>
    <t>6516702</t>
  </si>
  <si>
    <t>Заходи у сфері повітряного транспорту</t>
  </si>
  <si>
    <t>080800</t>
  </si>
  <si>
    <t>1412180</t>
  </si>
  <si>
    <t>Заходи з раціонального використання території міста, містобудівного розвитку та створення містобудівного кадастру</t>
  </si>
  <si>
    <t>250380</t>
  </si>
  <si>
    <t>7618800</t>
  </si>
  <si>
    <t>Інші субвенції</t>
  </si>
  <si>
    <t>6516640</t>
  </si>
  <si>
    <t>250913</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</si>
  <si>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</si>
  <si>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Міська комплексна програма соціального захисту та інші соціальні виплати населенню </t>
  </si>
  <si>
    <t>0318602</t>
  </si>
  <si>
    <t>6518606</t>
  </si>
  <si>
    <t>150202</t>
  </si>
  <si>
    <t>4816430</t>
  </si>
  <si>
    <t>Розробка схем та проектних рішень масового застосування</t>
  </si>
  <si>
    <t>Сприяння розвитку малого та середнього підприємництва</t>
  </si>
  <si>
    <t>Служба технічного нагляду</t>
  </si>
  <si>
    <t>4818602</t>
  </si>
  <si>
    <t>170103</t>
  </si>
  <si>
    <t>180410</t>
  </si>
  <si>
    <t>1017500</t>
  </si>
  <si>
    <t>Інші заходи, пов'язані з економічною діяльністю</t>
  </si>
  <si>
    <t>1017501</t>
  </si>
  <si>
    <t>Заходи з розвитку туризму</t>
  </si>
  <si>
    <t>6516800</t>
  </si>
  <si>
    <t>Інші заходи у сфері автомобільного транспорту</t>
  </si>
  <si>
    <t>6516801</t>
  </si>
  <si>
    <t>Організація пасажирських перевезень до садово-городніх ділянок</t>
  </si>
  <si>
    <t>200200</t>
  </si>
  <si>
    <t>6017612</t>
  </si>
  <si>
    <t>Охорона і раціональне використання земель</t>
  </si>
  <si>
    <t>6017460</t>
  </si>
  <si>
    <t>6016310</t>
  </si>
  <si>
    <t>Заходи з поховання</t>
  </si>
  <si>
    <t>Код тимчасової класифікації видатків та кредитування місцевих бюджетів (КТКВК)</t>
  </si>
  <si>
    <t>Код програмної класифікації видатків та кредитування місцевих бюджетів (КПКВК)</t>
  </si>
  <si>
    <t>200700</t>
  </si>
  <si>
    <t>Інші природоохоронні заходи</t>
  </si>
  <si>
    <t>1011070</t>
  </si>
  <si>
    <t>1011090</t>
  </si>
  <si>
    <t>1011230</t>
  </si>
  <si>
    <t>1017700</t>
  </si>
  <si>
    <t>1412220</t>
  </si>
  <si>
    <t>1412221</t>
  </si>
  <si>
    <t>1412222</t>
  </si>
  <si>
    <t>1412214</t>
  </si>
  <si>
    <t>1511060</t>
  </si>
  <si>
    <t>2414200</t>
  </si>
  <si>
    <t>2414201</t>
  </si>
  <si>
    <t>2414202</t>
  </si>
  <si>
    <t>2414203</t>
  </si>
  <si>
    <t>2414204</t>
  </si>
  <si>
    <t>2414205</t>
  </si>
  <si>
    <t>3217450</t>
  </si>
  <si>
    <t>6017700</t>
  </si>
  <si>
    <t>6517470</t>
  </si>
  <si>
    <t>1018108</t>
  </si>
  <si>
    <t>Первинна медична допомога населенню</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</si>
  <si>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t>
  </si>
  <si>
    <t>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t>
  </si>
  <si>
    <t>Надання пільг окремим категоріям громадян з оплати послуг зв'язку</t>
  </si>
  <si>
    <t>9416310</t>
  </si>
  <si>
    <t>1017701</t>
  </si>
  <si>
    <t>6017701</t>
  </si>
  <si>
    <t>Заходи з екологічної безпеки міста</t>
  </si>
  <si>
    <t>9616310</t>
  </si>
  <si>
    <t>0317470</t>
  </si>
  <si>
    <t>Код функціональної класифікації видатків та кредитування бюджету</t>
  </si>
  <si>
    <t>0111</t>
  </si>
  <si>
    <t>0830</t>
  </si>
  <si>
    <t>0490</t>
  </si>
  <si>
    <t>0133</t>
  </si>
  <si>
    <t>0910</t>
  </si>
  <si>
    <t>0921</t>
  </si>
  <si>
    <t>0922</t>
  </si>
  <si>
    <t>0960</t>
  </si>
  <si>
    <t>0990</t>
  </si>
  <si>
    <t>1040</t>
  </si>
  <si>
    <t>0810</t>
  </si>
  <si>
    <t>0411</t>
  </si>
  <si>
    <t>0540</t>
  </si>
  <si>
    <t>0511</t>
  </si>
  <si>
    <t>1060</t>
  </si>
  <si>
    <t>0731</t>
  </si>
  <si>
    <t>0733</t>
  </si>
  <si>
    <t>0721</t>
  </si>
  <si>
    <t>0722</t>
  </si>
  <si>
    <t>0740</t>
  </si>
  <si>
    <t>0726</t>
  </si>
  <si>
    <t>0763</t>
  </si>
  <si>
    <t>1030</t>
  </si>
  <si>
    <t>1070</t>
  </si>
  <si>
    <t>1090</t>
  </si>
  <si>
    <t>1010</t>
  </si>
  <si>
    <t>1020</t>
  </si>
  <si>
    <t>0821</t>
  </si>
  <si>
    <t>0824</t>
  </si>
  <si>
    <t>0828</t>
  </si>
  <si>
    <t>0823</t>
  </si>
  <si>
    <t>0829</t>
  </si>
  <si>
    <t>0610</t>
  </si>
  <si>
    <t>0620</t>
  </si>
  <si>
    <t>0456</t>
  </si>
  <si>
    <t>0443</t>
  </si>
  <si>
    <t>0460</t>
  </si>
  <si>
    <t>0455</t>
  </si>
  <si>
    <t>0320</t>
  </si>
  <si>
    <t>0180</t>
  </si>
  <si>
    <t>120000</t>
  </si>
  <si>
    <t>Засоби масової інформації</t>
  </si>
  <si>
    <t>0317200</t>
  </si>
  <si>
    <t>180000</t>
  </si>
  <si>
    <t>0317400</t>
  </si>
  <si>
    <t>Інші послуги, пов'язані з економічною діяльністю</t>
  </si>
  <si>
    <t>070000</t>
  </si>
  <si>
    <t>1011000</t>
  </si>
  <si>
    <t>Освіта</t>
  </si>
  <si>
    <t>090000</t>
  </si>
  <si>
    <t>1013000</t>
  </si>
  <si>
    <t>Соціальний захист та соціальне забезпечення</t>
  </si>
  <si>
    <t>130000</t>
  </si>
  <si>
    <t>Фізична культура і спорт</t>
  </si>
  <si>
    <t>150000</t>
  </si>
  <si>
    <t>1016300</t>
  </si>
  <si>
    <t>Будівництво</t>
  </si>
  <si>
    <t xml:space="preserve">Будівництво </t>
  </si>
  <si>
    <t>1018000</t>
  </si>
  <si>
    <t>250000</t>
  </si>
  <si>
    <t>Видатки, не віднесені до основних груп</t>
  </si>
  <si>
    <t>080000</t>
  </si>
  <si>
    <t>1412000</t>
  </si>
  <si>
    <t>Охорона здоров'я</t>
  </si>
  <si>
    <t>1416300</t>
  </si>
  <si>
    <t>1511000</t>
  </si>
  <si>
    <t>1513000</t>
  </si>
  <si>
    <t>1516300</t>
  </si>
  <si>
    <t>170000</t>
  </si>
  <si>
    <t>1513030</t>
  </si>
  <si>
    <t>1513100</t>
  </si>
  <si>
    <t>Надання соціальних та реабілітаційних послуг громадянам похилого віку, інвалідам, дітям-інвалідам в установах соціального обслуговування</t>
  </si>
  <si>
    <t>1513130</t>
  </si>
  <si>
    <t>1513180</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</si>
  <si>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</si>
  <si>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1513200</t>
  </si>
  <si>
    <t>Соціальний захист ветеранів війни і праці</t>
  </si>
  <si>
    <t>Культура і мистецтво</t>
  </si>
  <si>
    <t>2414000</t>
  </si>
  <si>
    <t>110000</t>
  </si>
  <si>
    <t>2416300</t>
  </si>
  <si>
    <t>3216300</t>
  </si>
  <si>
    <t>3217400</t>
  </si>
  <si>
    <t>100000</t>
  </si>
  <si>
    <t>4016000</t>
  </si>
  <si>
    <t>Житлово-комунальне господарство</t>
  </si>
  <si>
    <t>4016020</t>
  </si>
  <si>
    <t>Капітальний ремонт об'єктів житлового господарства</t>
  </si>
  <si>
    <t>4016300</t>
  </si>
  <si>
    <t>Транспорт, дорожнє господарство, зв'язок, телекомунікації та інформатика</t>
  </si>
  <si>
    <t>4018000</t>
  </si>
  <si>
    <t>010000</t>
  </si>
  <si>
    <t>0310100</t>
  </si>
  <si>
    <t>Державне управління</t>
  </si>
  <si>
    <t>0318000</t>
  </si>
  <si>
    <t>1010100</t>
  </si>
  <si>
    <t>1410100</t>
  </si>
  <si>
    <t>Програми і централізовані заходи у галузі охорони здоров'я</t>
  </si>
  <si>
    <t>1510100</t>
  </si>
  <si>
    <t>2010100</t>
  </si>
  <si>
    <t>2310100</t>
  </si>
  <si>
    <t>2410100</t>
  </si>
  <si>
    <t>3210100</t>
  </si>
  <si>
    <t>3218000</t>
  </si>
  <si>
    <t>4010100</t>
  </si>
  <si>
    <t>4510100</t>
  </si>
  <si>
    <t>4518000</t>
  </si>
  <si>
    <t>4810100</t>
  </si>
  <si>
    <t>4818000</t>
  </si>
  <si>
    <t>5010100</t>
  </si>
  <si>
    <t>5610100</t>
  </si>
  <si>
    <t>6010100</t>
  </si>
  <si>
    <t>200000</t>
  </si>
  <si>
    <t>6017600</t>
  </si>
  <si>
    <t>6017610</t>
  </si>
  <si>
    <t>Охорона навколишнього природного середовища та ядерна безпека</t>
  </si>
  <si>
    <t>6510100</t>
  </si>
  <si>
    <t>0317210</t>
  </si>
  <si>
    <t>Підтримка засобів масової інформації</t>
  </si>
  <si>
    <t>6516300</t>
  </si>
  <si>
    <t>6516600</t>
  </si>
  <si>
    <t>6517400</t>
  </si>
  <si>
    <t>6710100</t>
  </si>
  <si>
    <t>210000</t>
  </si>
  <si>
    <t>6717800</t>
  </si>
  <si>
    <t>Запобігання та ліквідація надзвичайних ситуацій та наслідків стихійного лиха</t>
  </si>
  <si>
    <t>7310100</t>
  </si>
  <si>
    <t>7316300</t>
  </si>
  <si>
    <t>7510100</t>
  </si>
  <si>
    <t>7318000</t>
  </si>
  <si>
    <t>7318600</t>
  </si>
  <si>
    <t>7518000</t>
  </si>
  <si>
    <t>7618000</t>
  </si>
  <si>
    <t>7618370</t>
  </si>
  <si>
    <t>9010100</t>
  </si>
  <si>
    <t>9016000</t>
  </si>
  <si>
    <t>9018000</t>
  </si>
  <si>
    <t>9110100</t>
  </si>
  <si>
    <t>9116000</t>
  </si>
  <si>
    <t>9118000</t>
  </si>
  <si>
    <t>9116300</t>
  </si>
  <si>
    <t>9210100</t>
  </si>
  <si>
    <t>9216000</t>
  </si>
  <si>
    <t>9216300</t>
  </si>
  <si>
    <t>9218000</t>
  </si>
  <si>
    <t>9310100</t>
  </si>
  <si>
    <t>9316000</t>
  </si>
  <si>
    <t>9316300</t>
  </si>
  <si>
    <t>9318000</t>
  </si>
  <si>
    <t>9410100</t>
  </si>
  <si>
    <t>9416000</t>
  </si>
  <si>
    <t>9416300</t>
  </si>
  <si>
    <t>9418000</t>
  </si>
  <si>
    <t>9510100</t>
  </si>
  <si>
    <t>9516000</t>
  </si>
  <si>
    <t>9518000</t>
  </si>
  <si>
    <t>9516300</t>
  </si>
  <si>
    <t>9610100</t>
  </si>
  <si>
    <t>9616000</t>
  </si>
  <si>
    <t>9616300</t>
  </si>
  <si>
    <t>9618000</t>
  </si>
  <si>
    <t>150110</t>
  </si>
  <si>
    <t>150112</t>
  </si>
  <si>
    <t>1016330</t>
  </si>
  <si>
    <t>1016350</t>
  </si>
  <si>
    <t>Проведення невідкладних відновлювальних робіт, будівництво та реконструкція позашкільних навчальних закладів</t>
  </si>
  <si>
    <t>Проведення невідкладних відновлювальних робіт, будівництво та реконструкція загальноосвітніх навчальних закладів</t>
  </si>
  <si>
    <t>Проведення спортивної роботи в регіоні</t>
  </si>
  <si>
    <t>Здійснення соціальної роботи з вразливими категоріями населення</t>
  </si>
  <si>
    <t>7317400</t>
  </si>
  <si>
    <t>7317470</t>
  </si>
  <si>
    <t>150111</t>
  </si>
  <si>
    <t>1016340</t>
  </si>
  <si>
    <t>Проведення невідкладних відновлювальних робіт, будівництво та реконструкція спеціалізованих навчальних закладів</t>
  </si>
  <si>
    <t>070501</t>
  </si>
  <si>
    <t>0930</t>
  </si>
  <si>
    <t>1011100</t>
  </si>
  <si>
    <t>Підготовка робітничих кадрів закладами професійно-технічної освіти</t>
  </si>
  <si>
    <t>9016010</t>
  </si>
  <si>
    <t>9116010</t>
  </si>
  <si>
    <t>9216010</t>
  </si>
  <si>
    <t>9316010</t>
  </si>
  <si>
    <t>9416010</t>
  </si>
  <si>
    <t>9516010</t>
  </si>
  <si>
    <t>9616010</t>
  </si>
  <si>
    <t>3300000</t>
  </si>
  <si>
    <t>3310000</t>
  </si>
  <si>
    <t>3310100</t>
  </si>
  <si>
    <t>3310180</t>
  </si>
  <si>
    <t>33</t>
  </si>
  <si>
    <t>Департамент реєстраційних послуг міської ради</t>
  </si>
  <si>
    <t>090501</t>
  </si>
  <si>
    <t>Організація та проведення громадських робіт</t>
  </si>
  <si>
    <t>1050</t>
  </si>
  <si>
    <t xml:space="preserve"> Районна адміністрація Запорізької міської ради по Дніпровському району</t>
  </si>
  <si>
    <t>Районна адміністрація Запорізької міської ради по Дніпровському району</t>
  </si>
  <si>
    <t xml:space="preserve"> Районна адміністрація Запорізької міської ради по Вознесенівському району</t>
  </si>
  <si>
    <t xml:space="preserve"> Районна адміністрація Запорізької міської ради по Олександрівському району</t>
  </si>
  <si>
    <t>9016300</t>
  </si>
  <si>
    <t xml:space="preserve"> грн.</t>
  </si>
  <si>
    <t>100208</t>
  </si>
  <si>
    <t>4016100</t>
  </si>
  <si>
    <t>Впровадження засобів обліку витрат та регулювання споживання води та теплової енергії</t>
  </si>
  <si>
    <t>Департамент спорту, сім'ї та молоді Запорізької міської ради</t>
  </si>
  <si>
    <t>Департамент охорони здоров'я Запорізької міської ради</t>
  </si>
  <si>
    <t>Департамент культури і туризму Запорізької міської ради</t>
  </si>
  <si>
    <t>41</t>
  </si>
  <si>
    <t>4100000</t>
  </si>
  <si>
    <t>4110000</t>
  </si>
  <si>
    <t>4110100</t>
  </si>
  <si>
    <t>4110180</t>
  </si>
  <si>
    <t>Департамент інфраструктури та благоустрою міста Запорізької міської ради</t>
  </si>
  <si>
    <t>49</t>
  </si>
  <si>
    <t>4900000</t>
  </si>
  <si>
    <t>4910000</t>
  </si>
  <si>
    <t>4910100</t>
  </si>
  <si>
    <t>4910180</t>
  </si>
  <si>
    <t>Інспекція державного архітектурно-будівельного контролю Запорізької міської ради</t>
  </si>
  <si>
    <t>Департамент надання адміністративних послуг та розвитку підприємництва Запорізької міської ради</t>
  </si>
  <si>
    <t>Департамент інфраструктури та благоустрою Запорізької міської ради</t>
  </si>
  <si>
    <t>Департамент правового забезпечення Запорізької міської ради</t>
  </si>
  <si>
    <t>4113000</t>
  </si>
  <si>
    <t>4113400</t>
  </si>
  <si>
    <t>4113402</t>
  </si>
  <si>
    <t>4116000</t>
  </si>
  <si>
    <t>4116060</t>
  </si>
  <si>
    <t>4116300</t>
  </si>
  <si>
    <t>4116310</t>
  </si>
  <si>
    <t>4116600</t>
  </si>
  <si>
    <t>4116650</t>
  </si>
  <si>
    <t>4117400</t>
  </si>
  <si>
    <t>4117470</t>
  </si>
  <si>
    <t>4118000</t>
  </si>
  <si>
    <t>4118600</t>
  </si>
  <si>
    <t>4118606</t>
  </si>
  <si>
    <t>130113</t>
  </si>
  <si>
    <t>Департамент освіти і науки Запорізької міської ради</t>
  </si>
  <si>
    <t>Цетралізований бухгалтерський та фінансовий облік у сфері фізичної культури та спорту</t>
  </si>
  <si>
    <t>4118603</t>
  </si>
  <si>
    <t>0318609</t>
  </si>
  <si>
    <t>Заходи з інформатизації</t>
  </si>
  <si>
    <t>11</t>
  </si>
  <si>
    <t>1100000</t>
  </si>
  <si>
    <t>1110000</t>
  </si>
  <si>
    <t>1110100</t>
  </si>
  <si>
    <t>1110180</t>
  </si>
  <si>
    <t>1113000</t>
  </si>
  <si>
    <t>1113140</t>
  </si>
  <si>
    <t>1115000</t>
  </si>
  <si>
    <t>1115010</t>
  </si>
  <si>
    <t>1115011</t>
  </si>
  <si>
    <t>1115012</t>
  </si>
  <si>
    <t>1115100</t>
  </si>
  <si>
    <t>1115101</t>
  </si>
  <si>
    <t>1115050</t>
  </si>
  <si>
    <t>1116300</t>
  </si>
  <si>
    <t>1116310</t>
  </si>
  <si>
    <t>1118000</t>
  </si>
  <si>
    <t>1118108</t>
  </si>
  <si>
    <t>6516703</t>
  </si>
  <si>
    <t>Заходи у сфері міського пасажирського транспорту загального користування</t>
  </si>
  <si>
    <t>Фінансова підтримка комунальних підприємств, організацій, органів самоорганізації населення</t>
  </si>
  <si>
    <t>090802</t>
  </si>
  <si>
    <t>1040 </t>
  </si>
  <si>
    <t>2011060</t>
  </si>
  <si>
    <t>2013112</t>
  </si>
  <si>
    <t>Заходи державної політики з питань дітей та їх соціального захисту</t>
  </si>
  <si>
    <t>Заклади і заходи з питань дітей та їх соціального захисту</t>
  </si>
  <si>
    <t>2013110</t>
  </si>
  <si>
    <t>Керівництво і управління у сфері інфраструктури та благоустрою</t>
  </si>
  <si>
    <t>Керівництво і управління у сфері державного архітеркурно-будівельного контролю</t>
  </si>
  <si>
    <t>0317211</t>
  </si>
  <si>
    <t>в тому числі за рахунок субвенції з державного бюджету місцевим бюджетам на здійснення заходів щодо соціально-економічного розвитку окремих територій</t>
  </si>
  <si>
    <t>3218602</t>
  </si>
  <si>
    <t>6018000</t>
  </si>
  <si>
    <t>6018600</t>
  </si>
  <si>
    <t>4017400</t>
  </si>
  <si>
    <t>4113240</t>
  </si>
  <si>
    <t>1013240</t>
  </si>
  <si>
    <t>Департамент з управління житлово-комунальним господарством Запорізької міської ради</t>
  </si>
  <si>
    <t>0316300</t>
  </si>
  <si>
    <t>Проведення місцевих виборів</t>
  </si>
  <si>
    <t>Проведення виборів та референдумів</t>
  </si>
  <si>
    <t>0160</t>
  </si>
  <si>
    <t>0318604</t>
  </si>
  <si>
    <t>0318605</t>
  </si>
  <si>
    <t>0318608</t>
  </si>
  <si>
    <t>Підтримка призову на військову службу та заходи з мобілізації</t>
  </si>
  <si>
    <t>Керівництво і управління у сфері комплексного соціально-економічного розвитку району та реалізації політики міської ради у визначених законодавством сферах управління</t>
  </si>
  <si>
    <t>Керівництво і управління у сфері спорту, сім'ї та молоді</t>
  </si>
  <si>
    <t>Керівництво і управління у сфері правового забезпечення</t>
  </si>
  <si>
    <t>1013130</t>
  </si>
  <si>
    <t>Здійснення соціальної роботи із вразливими категоріями населення</t>
  </si>
  <si>
    <t>1018100</t>
  </si>
  <si>
    <t>Надання та повернення пільгового довгострокового кредиту на будівництво (реконструкцію) та придбання житла</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</si>
  <si>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</si>
  <si>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Керівництво і управління у сфері культури і туризму</t>
  </si>
  <si>
    <t>Департамент з управління житлового-комунальним господарством Запорізької міської ради</t>
  </si>
  <si>
    <t>4016400</t>
  </si>
  <si>
    <t>4016320</t>
  </si>
  <si>
    <t>Надання допомоги у вирішенні житлових питань</t>
  </si>
  <si>
    <t>4017470</t>
  </si>
  <si>
    <t>4117700</t>
  </si>
  <si>
    <t>4117701</t>
  </si>
  <si>
    <t>4113401</t>
  </si>
  <si>
    <t>5617300</t>
  </si>
  <si>
    <t>Сільське і лісове господарство, рибне господарство та мисливство</t>
  </si>
  <si>
    <t>0421</t>
  </si>
  <si>
    <t>6016300</t>
  </si>
  <si>
    <t>6017400</t>
  </si>
  <si>
    <t>6717820</t>
  </si>
  <si>
    <t>0220</t>
  </si>
  <si>
    <t>Заходи у сфері захисту населення і території від надзвичайних ситуацій техногенного та природного характеру</t>
  </si>
  <si>
    <t>210106</t>
  </si>
  <si>
    <t>9018601</t>
  </si>
  <si>
    <t>9018604</t>
  </si>
  <si>
    <t>9018607</t>
  </si>
  <si>
    <t>9018609</t>
  </si>
  <si>
    <t>9118601</t>
  </si>
  <si>
    <t>9118604</t>
  </si>
  <si>
    <t>9118607</t>
  </si>
  <si>
    <t>9118609</t>
  </si>
  <si>
    <t>9218601</t>
  </si>
  <si>
    <t>9218604</t>
  </si>
  <si>
    <t>9218607</t>
  </si>
  <si>
    <t>9218609</t>
  </si>
  <si>
    <t>9318601</t>
  </si>
  <si>
    <t>9318604</t>
  </si>
  <si>
    <t>9318607</t>
  </si>
  <si>
    <t>9318609</t>
  </si>
  <si>
    <t>9418601</t>
  </si>
  <si>
    <t>9418604</t>
  </si>
  <si>
    <t>9418607</t>
  </si>
  <si>
    <t>9418609</t>
  </si>
  <si>
    <t>9518601</t>
  </si>
  <si>
    <t>9518604</t>
  </si>
  <si>
    <t>9518607</t>
  </si>
  <si>
    <t>9518609</t>
  </si>
  <si>
    <t>9618601</t>
  </si>
  <si>
    <t>9618604</t>
  </si>
  <si>
    <t>9618607</t>
  </si>
  <si>
    <t>9618609</t>
  </si>
  <si>
    <t>Керівництво і управління у сфері підтримки підприємництва, регуляторної політики, організації надання адміністративних послуг</t>
  </si>
  <si>
    <t>Керівництво і управління у сфері державної реєстрації речових прав на нерухоме майно, юридичних осіб та фізичних осіб - підприємців та фізичних осіб</t>
  </si>
  <si>
    <t>Керівництво і управління у сфері управління майном права комунальної власності</t>
  </si>
  <si>
    <t>Керівництво і управління у сфері охорони навколишнього природного  середовища</t>
  </si>
  <si>
    <t>Керівництво і управління у сфері транспортну та зв'язку</t>
  </si>
  <si>
    <t xml:space="preserve">Додаток 6                           </t>
  </si>
  <si>
    <t>Назва об'єктів відповідно до проектно-кошторисної документації, тощо</t>
  </si>
  <si>
    <t>Загальний обсяг фінансування будівництва</t>
  </si>
  <si>
    <t>Відсоток завершеності будівництва об'єктів на майбутні роки</t>
  </si>
  <si>
    <t>Всього видатків на завершення будівництва об'єктів на майбутні роки</t>
  </si>
  <si>
    <t>Разом видатків на поточний рік</t>
  </si>
  <si>
    <t>в тому числі</t>
  </si>
  <si>
    <t>Перелік об'єктів, видатки на які у 2017 році будуть проводитися за рахунок коштів бюджету розвитку</t>
  </si>
  <si>
    <t>Капітальні вкладення</t>
  </si>
  <si>
    <t>Найменування головного розпорядника, відповідального виконавця, бюджетної програми або напряму видатків згідно з типовою відомчою/ТПКВКМБ/ТКВКБМС</t>
  </si>
  <si>
    <t>0100</t>
  </si>
  <si>
    <t>7200</t>
  </si>
  <si>
    <t>7210</t>
  </si>
  <si>
    <t>7211</t>
  </si>
  <si>
    <t>7212</t>
  </si>
  <si>
    <t>6300</t>
  </si>
  <si>
    <t>6310</t>
  </si>
  <si>
    <t>6322</t>
  </si>
  <si>
    <t>7400</t>
  </si>
  <si>
    <t>7470</t>
  </si>
  <si>
    <t>8000</t>
  </si>
  <si>
    <t>8010</t>
  </si>
  <si>
    <t>8600</t>
  </si>
  <si>
    <t>8601</t>
  </si>
  <si>
    <t>8602</t>
  </si>
  <si>
    <t>8603</t>
  </si>
  <si>
    <t>8604</t>
  </si>
  <si>
    <t>8605</t>
  </si>
  <si>
    <t>8606</t>
  </si>
  <si>
    <t>8607</t>
  </si>
  <si>
    <t>8608</t>
  </si>
  <si>
    <t>8609</t>
  </si>
  <si>
    <t>1000</t>
  </si>
  <si>
    <t>1100</t>
  </si>
  <si>
    <t>1170</t>
  </si>
  <si>
    <t>1180</t>
  </si>
  <si>
    <t>1190</t>
  </si>
  <si>
    <t>1200</t>
  </si>
  <si>
    <t>1210</t>
  </si>
  <si>
    <t>1230</t>
  </si>
  <si>
    <t>3000</t>
  </si>
  <si>
    <t>3130</t>
  </si>
  <si>
    <t>3131</t>
  </si>
  <si>
    <t>3132</t>
  </si>
  <si>
    <t>3140</t>
  </si>
  <si>
    <t>3160</t>
  </si>
  <si>
    <t>3240</t>
  </si>
  <si>
    <t>6330</t>
  </si>
  <si>
    <t>6340</t>
  </si>
  <si>
    <t>6350</t>
  </si>
  <si>
    <t>7500</t>
  </si>
  <si>
    <t>7501</t>
  </si>
  <si>
    <t>7700</t>
  </si>
  <si>
    <t>7701</t>
  </si>
  <si>
    <t>8100</t>
  </si>
  <si>
    <t>8108</t>
  </si>
  <si>
    <t>5000</t>
  </si>
  <si>
    <t>5010</t>
  </si>
  <si>
    <t>5011</t>
  </si>
  <si>
    <t>5012</t>
  </si>
  <si>
    <t>5050</t>
  </si>
  <si>
    <t>5100</t>
  </si>
  <si>
    <t>5101</t>
  </si>
  <si>
    <t>2000</t>
  </si>
  <si>
    <t>2010</t>
  </si>
  <si>
    <t>2050</t>
  </si>
  <si>
    <t>2120</t>
  </si>
  <si>
    <t>2140</t>
  </si>
  <si>
    <t>2170</t>
  </si>
  <si>
    <t>2180</t>
  </si>
  <si>
    <t>2200</t>
  </si>
  <si>
    <t>2210</t>
  </si>
  <si>
    <t>2214</t>
  </si>
  <si>
    <t>2220</t>
  </si>
  <si>
    <t>2221</t>
  </si>
  <si>
    <t>2222</t>
  </si>
  <si>
    <t>3030</t>
  </si>
  <si>
    <t>3031</t>
  </si>
  <si>
    <t>3033</t>
  </si>
  <si>
    <t>3034</t>
  </si>
  <si>
    <t>3035</t>
  </si>
  <si>
    <t>3036</t>
  </si>
  <si>
    <t>3037</t>
  </si>
  <si>
    <t>3038</t>
  </si>
  <si>
    <t>3100</t>
  </si>
  <si>
    <t>3104</t>
  </si>
  <si>
    <t>3180</t>
  </si>
  <si>
    <t>3181</t>
  </si>
  <si>
    <t>3200</t>
  </si>
  <si>
    <t>3202</t>
  </si>
  <si>
    <t>3400</t>
  </si>
  <si>
    <t>3401</t>
  </si>
  <si>
    <t>2011000</t>
  </si>
  <si>
    <t>3110</t>
  </si>
  <si>
    <t>3112</t>
  </si>
  <si>
    <t>2013000</t>
  </si>
  <si>
    <t>4000</t>
  </si>
  <si>
    <t>4020</t>
  </si>
  <si>
    <t>4060</t>
  </si>
  <si>
    <t>4090</t>
  </si>
  <si>
    <t>4100</t>
  </si>
  <si>
    <t>4110</t>
  </si>
  <si>
    <t>4200</t>
  </si>
  <si>
    <t>4201</t>
  </si>
  <si>
    <t>4202</t>
  </si>
  <si>
    <t>4203</t>
  </si>
  <si>
    <t>4204</t>
  </si>
  <si>
    <t>4205</t>
  </si>
  <si>
    <t>7450</t>
  </si>
  <si>
    <t>6000</t>
  </si>
  <si>
    <t>6010</t>
  </si>
  <si>
    <t>6020</t>
  </si>
  <si>
    <t>6021</t>
  </si>
  <si>
    <t>6022</t>
  </si>
  <si>
    <t>6030</t>
  </si>
  <si>
    <t>6100</t>
  </si>
  <si>
    <t>6320</t>
  </si>
  <si>
    <t>6324</t>
  </si>
  <si>
    <t>6400</t>
  </si>
  <si>
    <t>3402</t>
  </si>
  <si>
    <t>6060</t>
  </si>
  <si>
    <t>6600</t>
  </si>
  <si>
    <t>6650</t>
  </si>
  <si>
    <t>6430</t>
  </si>
  <si>
    <t>7300</t>
  </si>
  <si>
    <t>7310</t>
  </si>
  <si>
    <t>7460</t>
  </si>
  <si>
    <t>7600</t>
  </si>
  <si>
    <t>7610</t>
  </si>
  <si>
    <t>7612</t>
  </si>
  <si>
    <t>6640</t>
  </si>
  <si>
    <t>6700</t>
  </si>
  <si>
    <t>6701</t>
  </si>
  <si>
    <t>6702</t>
  </si>
  <si>
    <t>6703</t>
  </si>
  <si>
    <t>6800</t>
  </si>
  <si>
    <t>6801</t>
  </si>
  <si>
    <t>7800</t>
  </si>
  <si>
    <t>7810</t>
  </si>
  <si>
    <t>7820</t>
  </si>
  <si>
    <t>7840</t>
  </si>
  <si>
    <t>8370</t>
  </si>
  <si>
    <t>8800</t>
  </si>
  <si>
    <t>Код типової програмної класифікації видатків та кредитування місцевих бюджетів (КТПККВК)</t>
  </si>
  <si>
    <t xml:space="preserve">Реконструкція будівлі дошкільного навчального закладу № 144 Комунарського району м.Запоріжжя </t>
  </si>
  <si>
    <t xml:space="preserve">Реконструкція елементів благоустрою комплексу спортивних майданчиків ЗНЗ №92 по вул.Лахтінській,9, м. Запоріжжя </t>
  </si>
  <si>
    <t>Реконструкція елементів благоустрою комплексу спортивних майданчиків гімназії №93 по вул.Полякова,9, м. Запоріжжя</t>
  </si>
  <si>
    <t xml:space="preserve">Реконструкція елементів благоустрою комплексу спортивних майданчиків ЗНЗ №7 по вул.Північнокільцевій,21, м. Запоріжжя </t>
  </si>
  <si>
    <t>Реконструкція колегіуму "Мала гуманітарна академія" (благоустрій території, заміна конструкцій даху) по вул.Гудименка, буд.13 в м.Запоріжжя</t>
  </si>
  <si>
    <t>Реконструкція приміщення спортивного комплексу на території дитячої спортивної та юнацької школи "Локомотив"</t>
  </si>
  <si>
    <t>Комунальна установа «Запорізька міська багатопрофільна дитяча лікарня №5» діагностичне  інфекційно-боксоване відділення - реконструкція</t>
  </si>
  <si>
    <t xml:space="preserve">Реконструкція прибудови до житлової будівлі під амбулаторію сімейного лікаря по вул. Дорошенко, 3 в Хортицькому районі, м.Запоріжжя </t>
  </si>
  <si>
    <t>Реконструкція частини будівлі під амбулаторію сімейного лікаря по вул. Воронезька, 10 в Хортицькому районі м. Запоріжжя</t>
  </si>
  <si>
    <t>Реконструкція нежитлового приміщення по вул.Горького, 55 під амбулаторію сімейного лікаря КЗ "Запорізький центр первинної медико-санітарної допомоги № 1" в м.Запоріжжя</t>
  </si>
  <si>
    <t>Реконструкція амбулаторії №6 Центру первинної медико-санітарної допомоги №2 по вул.Брюллова,6 в м.Запоріжжя</t>
  </si>
  <si>
    <t>Термомодернізація будівлі комунального закладу "Центр первинної медико-санітарної допомоги №2"  по вул Авраменко, 4 в Шевченківському районі м. Запоріжжя - реконструкція</t>
  </si>
  <si>
    <t xml:space="preserve">Термомодернізація будівлі комунального закладу "Запорізький центр первинної медико-санітарної допомоги №5" по вул. Запорозького Козацтва, 25 в Хортицькому районі м.Запоріжжя - реконструкція </t>
  </si>
  <si>
    <t xml:space="preserve">Реконструкція будівлі під центр реінтеграції бездомних осіб по вул. Перспективна, 2А в м.Запоріжжі </t>
  </si>
  <si>
    <t>Реконструкція будівлі комунального закладу "Палац культури "Орбіта"</t>
  </si>
  <si>
    <t>Будівництво житлового будинку № 25 в кварталі по вул. Алмазній у сел. Павло-Кічкас м. Запоріжжя</t>
  </si>
  <si>
    <t>Реконструкція внутрішніх інженерних мереж житлового будинку по пр. Леніна, 171 в м.Запоріжжя</t>
  </si>
  <si>
    <t>Житловий будинок по вул.Дзержинського, 52 - реконструкція в м.Запоріжжі</t>
  </si>
  <si>
    <t>Реконструкція нежитлових приміщень під житлові по пр.Інженера Преображенського, 3 у м.Запоріжжі</t>
  </si>
  <si>
    <t>Реконструкція котельні по вул.Задніпровська, 7, м.Запоріжжя (ліквідація аварійного стану)</t>
  </si>
  <si>
    <t>Котельня по провулку Зустрічний,10, м. Запоріжжя - технічне переоснащення</t>
  </si>
  <si>
    <t>Теплові мережі по вул.Ногіна-Дегтярьова, м.Запоріжжя - технічне переоснащення із заміною теплової ізоляції</t>
  </si>
  <si>
    <t>Реконструкція водопроводу Ø630 по вул. Первомайській (від ЗЦП до вул. Кооперативної) м. Запоріжжя</t>
  </si>
  <si>
    <t>Реконструкція Дніпровської водопровідної станції № 2 (ДВС-2) у м. Запоріжжя (розробка техніко-економічного обґрунтування)</t>
  </si>
  <si>
    <t>Реконструкція Дніпровської водопровідної станції № 1 (ДВС-1) у м. Запоріжжі (розробка техніко-економічного обґрунтування)</t>
  </si>
  <si>
    <t>Реконструкція хлораторної ДВС-2,  м. Запоріжжя</t>
  </si>
  <si>
    <t>Кабельна лінія 6 кВ РП-25 п/ст. Зелений Яр м. Запоріжжя - технічне переоснащення</t>
  </si>
  <si>
    <t>Магістральна мережа теплопостачання по вул. Новокузнецька житлового масиву «Південний» м. Запоріжжя - реконструкція (другий пусковий комплекс)</t>
  </si>
  <si>
    <t xml:space="preserve">Реконструкція магістральної теплової мережі по  вул. Героїв Сталінграду в м. Запоріжжя  </t>
  </si>
  <si>
    <t>Комунальне підприємство "Водоканал" (спеціалізований автомобіль на базі ГАЗ-3309 - 4од., екскаватор -навантажувач JCB 3CX -3од.)</t>
  </si>
  <si>
    <t>Будівництво мереж зовнішнього освітлення на внутрішньо квартальній території по вул. Південне шосе, 2, 2А, 2Б в м. Запоріжжя</t>
  </si>
  <si>
    <t>Будівництво мереж зовнішнього освітлення по вул. Запорізька вздовж тротуарів в м. Запоріжжя</t>
  </si>
  <si>
    <t xml:space="preserve">Будівництво мереж зовнішнього освітлення по вул. Північнокільцева 1, 3 у м. Запоріжжі </t>
  </si>
  <si>
    <t xml:space="preserve">Будівництво мереж зовнішнього освітлення по вул. Задніпровська, 6, Задніпровська ,8 Задніпровська, 10 в м. Запоріжжя  </t>
  </si>
  <si>
    <t xml:space="preserve">Будівництво мереж зовнішнього освітлення по вул. Лахтинська,2,  Лахтинська, 4 в м.Запоріжжя  </t>
  </si>
  <si>
    <t xml:space="preserve">Будівництво мереж зовнішнього освітлення по вул. Лахтинська, 12  в м. Запоріжжя  </t>
  </si>
  <si>
    <t xml:space="preserve">Будівництво мереж зовнішнього освітлення по вул. Задніпровська, 24а в м. Запоріжжя </t>
  </si>
  <si>
    <t xml:space="preserve">Будівництво мереж зовнішнього освітлення по вул. Задніпровська, 28,30 в м. Запоріжжя </t>
  </si>
  <si>
    <t xml:space="preserve">Будівництво мереж зовнішнього освітлення по вул. Ентузіастів, 10 в м. Запоріжжя  </t>
  </si>
  <si>
    <t xml:space="preserve">Будівництво мереж зовнішнього освітлення по вул. Ентузіастів, 8 в м. Запоріжжя  </t>
  </si>
  <si>
    <t xml:space="preserve">Будівництво мереж зовнішнього освітлення по вул. Ентузіастів, 12 в м. Запоріжжя  </t>
  </si>
  <si>
    <t xml:space="preserve">Будівництво мереж зовнішнього освітлення по вул. Ентузіастів, 14а в м. Запоріжжя </t>
  </si>
  <si>
    <t xml:space="preserve">Будівництво мереж зовнішнього освітлення по вул. Ентузіастів, 20/вул. Задніпровська, 34 в м.Запоріжжя  </t>
  </si>
  <si>
    <t xml:space="preserve">Будівництво мереж зовнішнього освітлення по вул. Лахтинська, 5 в м. Запоріжжя  </t>
  </si>
  <si>
    <t xml:space="preserve">Будівництво мереж зовнішнього освітлення по вул.Козака Бабури,3 в м.Запоріжжя  </t>
  </si>
  <si>
    <t xml:space="preserve">Будівництво мереж зовнішнього освітлення по вул. Задніпровська, 5а в м. Запоріжжя  </t>
  </si>
  <si>
    <t xml:space="preserve">Будівництво мереж зовнішнього освітлення по пр.Ювілейний, 30а в м. Запоріжжя </t>
  </si>
  <si>
    <t xml:space="preserve">Будівництво мереж зовнішнього освітлення по вул. Бульвар Будівельників, 15 ( центр естетичного виховання ) в м. Запоріжжя </t>
  </si>
  <si>
    <t xml:space="preserve">Будівництво мереж зовнішнього освітлення по вул. Бульвар Будівельників, 21 в м. Запоріжжя </t>
  </si>
  <si>
    <t xml:space="preserve">Будівництво мереж зовнішнього освітлення по вул. Бульвар Будівельників, 23 в м. Запоріжжя </t>
  </si>
  <si>
    <t xml:space="preserve">Будівництво мереж зовнішнього освітлення по вул. Задніпровська,33,39 по пішохідній доріжці увздовж ринку у напрямку до будинку Воронізька, 30 в м. Запоріжжя  </t>
  </si>
  <si>
    <t xml:space="preserve">Будівництво мереж зовнішнього освітлення по вул. Медична, від буд.72 до буд.80 в м. Запоріжжі  </t>
  </si>
  <si>
    <t xml:space="preserve">Будівництво мереж зовнішнього освітлення по вул. Цегельна (від вул. Фабрична буд. 4, 15, 23, 23а, 23б, 24, 26, 26а до мосту річки Суха Московка та від вул. Фабрична, 61 до буд. 199) в м. Запоріжжя  </t>
  </si>
  <si>
    <t xml:space="preserve">Будівництво мереж зовнішнього освітлення по вул. Фабрична, 123-150 в м. Запоріжжя  </t>
  </si>
  <si>
    <t xml:space="preserve">Будівництво мереж зовнішнього освітлення по пров. Звивистий в м. Запоріжжя  </t>
  </si>
  <si>
    <t xml:space="preserve">Будівництво мереж зовнішнього освітлення по вул. Академіка Павлова в м. Запоріжжя </t>
  </si>
  <si>
    <t xml:space="preserve">Будівництво мереж зовнішнього освітлення по вул. Алейна в м. Запоріжжя </t>
  </si>
  <si>
    <t xml:space="preserve">Будівництво мереж зовнішнього освітлення по вул. Військбуд, 85 в м. Запоріжжя  </t>
  </si>
  <si>
    <t xml:space="preserve">Будівництво мереж зовнішнього освітлення по вул.Червоногірська (від вул. Панфьорова до вул. Автодорожня) у м. Запоріжжі  </t>
  </si>
  <si>
    <t xml:space="preserve">Будівництво мереж зовнішнього освітлення по вул. Балкова (від вул. Тимірязєва до вул. Верещагіна) у м. Запоріжжі  </t>
  </si>
  <si>
    <t xml:space="preserve">Будівництво мереж зовнішнього освітлення по вул. Алтайська (від вул. Балкова до вул. Тульська) у м. Запоріжжі  </t>
  </si>
  <si>
    <t xml:space="preserve">Будівництво мереж зовнішнього освітлення парк між вул. Павлокічкаська та вул. Історична у м. Запоріжжі  </t>
  </si>
  <si>
    <t xml:space="preserve">Будівництво мереж зовнішнього освітлення по вул. Придніпровська, 6, 8 у м. Запоріжжі  </t>
  </si>
  <si>
    <t xml:space="preserve">Будівництво мереж зовнішнього освітлення по вул. Автодорівська, 1-28 у м.Запоріжжі </t>
  </si>
  <si>
    <t xml:space="preserve">Будівництво мереж зовнішнього освітлення по вул.Морфлотська, 21 у м.Запоріжжі </t>
  </si>
  <si>
    <t xml:space="preserve">Будівництво мереж зовнішнього освітлення по вул. Лижна, 1-9 у м. Запоріжжі </t>
  </si>
  <si>
    <t xml:space="preserve">Будівництво мереж зовнішнього освітлення по вул. Орловська у м. Запоріжжі  </t>
  </si>
  <si>
    <t xml:space="preserve">Будівництво мереж зовнішнього освітлення по вул. Морфлотська, 100-110 у м. Запоріжжі </t>
  </si>
  <si>
    <t xml:space="preserve">Будівництво мереж зовнішнього освітлення по пров.Листопадовий у м. Запоріжжі </t>
  </si>
  <si>
    <t xml:space="preserve">Будівництво мереж зовнішнього освітлення по вул. Славгородська (від. вул. Похила до пров. Сніжний) в м. Запоріжжі  </t>
  </si>
  <si>
    <t xml:space="preserve">Будівництво мереж зовнішнього освітлення на внутрішньоквартальній території по вул. Іванівська, №16, 20- вул. Трегубова,№13, 15, 17, 19,21, 23, 25- вул. Вавилова, 11, 13, 15, 17, 19- вул. Вишневського, № 10, 12, 14, 16 в м. Запоріжжя </t>
  </si>
  <si>
    <t xml:space="preserve">Будівництво мереж зовнішнього освітлення по вул. Новгородська, 8-4 в м. Запоріжжя </t>
  </si>
  <si>
    <t xml:space="preserve">Будівництво мереж зовнішнього освітлення по вул. Новоросійська в м. Запоріжжя </t>
  </si>
  <si>
    <t xml:space="preserve">Будівництво мереж зовнішнього освітлення по вул. Академіка Грекова в м. Запоріжжя </t>
  </si>
  <si>
    <t xml:space="preserve">Будівництво мереж зовнішнього освітлення по пров. Весняний в м. Запоріжжя </t>
  </si>
  <si>
    <t>Будівництво мереж зовнішнього освітлення по вул. Загорська в м. Запоріжжя</t>
  </si>
  <si>
    <t xml:space="preserve">Будівництво мереж зовнішнього освітлення по пров. Зустрічний в м. Запоріжжя </t>
  </si>
  <si>
    <t xml:space="preserve">Будівництво мереж зовнішнього освітлення по пров. Лазурний в м. Запоріжжя </t>
  </si>
  <si>
    <t>Будівництво мереж зовнішнього освітлення по вул. Максима Кривоноса в м. Запоріжжя</t>
  </si>
  <si>
    <t xml:space="preserve">Будівництво мереж зовнішнього освітлення по вул. Молодогвардійська,1-12 в м. Запоріжжя </t>
  </si>
  <si>
    <t>Будівництво мереж зовнішнього освітлення по вул. Натальївська в м. Запоріжжя</t>
  </si>
  <si>
    <t xml:space="preserve">Будівництво мереж зовнішнього освітлення по вул. Незалежності в м. Запоріжжя </t>
  </si>
  <si>
    <t xml:space="preserve">Будівництво мереж зовнішнього освітлення по вул. Пшенична в м. Запоріжжя </t>
  </si>
  <si>
    <t xml:space="preserve">Будівництво мереж зовнішнього освітлення по вул. Центральна, 7, 7а в м. Запоріжжя </t>
  </si>
  <si>
    <t>Будівництво мереж зовнішнього освітлення  по вул.Суворова (від вул.Заводська до вул.Рекордна) у м.Запоріжжі</t>
  </si>
  <si>
    <t xml:space="preserve">Будівництво мереж зовнішнього освітлення на внутрішньоквартальній території по б. Бельфорський, 13 в м. Запоріжжя </t>
  </si>
  <si>
    <t xml:space="preserve">Будівництво мереж зовнішнього освітлення на внутрішньоквартальній території по вул. Кремлівська, № 43, 45, 47, 49, 49-А, 51, 53, 53-А, 55, 57, 57-А, 59, 61, 61-А, 63 - вул. Трегубова, №36, 38, 40, 42 в м. Запоріжжя </t>
  </si>
  <si>
    <t xml:space="preserve">Будівництво мереж зовнішнього освітлення на внутрішньоквартальній території по вул. Л.Українки, № 2, 4, 6, 8, 10 - вул. Трегубова, №22,20, 26, 28, 30, 32 - вул. Адмиралтейська,№ 3, 5, 7, 9- вул. Кремлівська, 29, 31, 33, 35, 37, 39, 41 в м. Запоріжжя </t>
  </si>
  <si>
    <t xml:space="preserve">Будівництво мереж зовнішнього освітлення на внутрішньоквартальній території по вул. Трегубова,№ 10,12, 12-А, 14, 16-вул. Вавилова,№ 1, 3, 5, 7, 9- вул. Кремлівська,№ 17, 19, 21, 23, 25 в м. Запоріжжя </t>
  </si>
  <si>
    <t xml:space="preserve">Будівництво мереж зовнішнього освітлення по вул.Дніпровські пороги,31 - вул.Професора Толока,26; школа №109 - вул. Товариська,66а; вул. Дніпровські пороги,31 - школа № 109 в м.Запоріжжя </t>
  </si>
  <si>
    <t xml:space="preserve">Будівництво мереж зовнішнього освітлення по вул. Зелена від вул.Донецька до вул.Ювілейна в м. Запоріжжя </t>
  </si>
  <si>
    <t xml:space="preserve">Будівництво мереж зовнішнього освітлення на внутрішньоквартальній території по вул.Рекордна в м. Запоріжжя </t>
  </si>
  <si>
    <t>Будівництво мереж зовнішнього освітлення  скверу на ділянці від вул.Павлокічкаська до Північного шосе у м.Запоріжжі (проектні роботи та експертиза)</t>
  </si>
  <si>
    <t>Реконструкція мереж зовнішнього освітлення  по вул. Південноукраїнська в м.Запоріжжі</t>
  </si>
  <si>
    <t>Реконструкція мереж зовнішнього освітлення на розділювальній смузі по вул. Перемоги в м. Запоріжжя</t>
  </si>
  <si>
    <t>Реконструкція мереж зовнішнього освітлення на розділювальній смузі по вул. Лермонтова (ТП-429) в м.Запоріжжя</t>
  </si>
  <si>
    <t>Реконструкція мереж зовнішнього освітлення від парку Металургів (ТП-73) до площі Енергетиків (ТП-74) у м.Запоріжжі</t>
  </si>
  <si>
    <t>Реконструкція мереж зовнішнього освітлення на розділювальній смузі від Паркового бульвару до пр. Металургів по пр. Соборний (ТП-560) в м.Запоріжжя</t>
  </si>
  <si>
    <t>Реконструкція мереж зовнішнього освітлення на розділювальній смузі по пр. Металургів (ТП-570) в м.Запоріжжя</t>
  </si>
  <si>
    <t>Реконструкція мереж зовнішнього освітлення по вул. Пантелеймона Куліша в м.Запоріжжя</t>
  </si>
  <si>
    <t>Реконструкція мереж зовнішнього освітлення по вул. Дніпровське шосе в м.Запоріжжя</t>
  </si>
  <si>
    <t>Реконструкція мереж зовнішнього освітлення по вул. Піщана в районі промзони в м.Запоріжжя</t>
  </si>
  <si>
    <t>Реконструкція мереж зовнішнього освітлення по вул. Істоміна в м.Запоріжжя</t>
  </si>
  <si>
    <t>Реконструкція мереж зовнішнього освітлення по вул. Південне шосе в м.Запоріжжя</t>
  </si>
  <si>
    <t>Реконструкція мереж зовнішнього освітлення по вул. Рясна в м.Запоріжжя</t>
  </si>
  <si>
    <t>Реконструкція мереж зовнішнього освітлення по вул. Василя Вишиваного в м.Запоріжжя</t>
  </si>
  <si>
    <t>Реконструкція мереж зовнішнього освітлення по вул. Новобудов в м.Запоріжжя</t>
  </si>
  <si>
    <t>Реконструкція мереж зовнішнього освітлення по вул. Автодорожня  (від вул. Тульська до вул. Теплова) в м. Запоріжжя</t>
  </si>
  <si>
    <t>Реконструкція мереж зовнішнього освітлення по вул. Чарівна (на ділянці від вул. Полякова до вул. Бочарова - тротуар) у м.Запоріжжі</t>
  </si>
  <si>
    <t>Реконструкція мереж зовнішнього освітлення по вул. Віражна в м.Запоріжжя</t>
  </si>
  <si>
    <t>Реконструкція мереж зовнішнього освітлення по вул. Іванова в м.Запоріжжя</t>
  </si>
  <si>
    <t>Реконструкція мереж зовнішнього освітлення по вул. Молодогвардійська в м.Запоріжжя</t>
  </si>
  <si>
    <t>Реконструкція мереж зовнішнього освітлення по вул. Стефанова в м.Запоріжжя</t>
  </si>
  <si>
    <t xml:space="preserve">Будівництво світлофорного об’єкту на перехресті пр. Маяковського – вул. Прибрежна магістраль в м. Запоріжжя </t>
  </si>
  <si>
    <t xml:space="preserve">Будівництво світлофорного об’єкту на перехресті вул. Червона– вул.  Кругова в м. Запоріжжя </t>
  </si>
  <si>
    <t>Будівництво світлофорного об’єкту на перехресті пр. Маяковського – вул. Патріотична в м. Запоріжжя</t>
  </si>
  <si>
    <t>Реконструкція світлофорного об’єкту на перехресті вул. Незалежної України – вул. Сталеварів в м. Запоріжжя</t>
  </si>
  <si>
    <t>Реконструкція прогонових споруд підмостового автодорожнього проїзду дамби Вознесенівський узвіз (Ленінського комсомолу) по вул. Перемоги - вул. Яценка в м. Запоріжжі</t>
  </si>
  <si>
    <t>Будівництво споруд зливової каналізації в межах відновлення берегової території сел. Павло-Кічкас м. Запоріжжя</t>
  </si>
  <si>
    <t>Будівництво Кушугумского кладовища в м.Запоріжжя</t>
  </si>
  <si>
    <t>Реконструкція бул.Будівельників у Хортицькому районі м.Запоріжжя</t>
  </si>
  <si>
    <t>Реконструкція мостового переходу через залізницю по вул. Заводській в м.Запоріжжі</t>
  </si>
  <si>
    <t xml:space="preserve">Реконструкція  зливової каналізації в районі будинку № 18 по вул. Авраменка в м. Запоріжжі </t>
  </si>
  <si>
    <t xml:space="preserve">Реконструкція пішохідного мосту через Вознесенівський спуск по вул. Перемоги - бул. Центральний в м. Запоріжжі </t>
  </si>
  <si>
    <t>Комунальне підприємство "Експлуатаційне лінійне управління автомобільних шляхів"  (машина для ямкового ремонту - 1 од., підмітально-вакуумна машина середнього класу - 1 од., екскаватор навантажувач - 1 од.)</t>
  </si>
  <si>
    <t>Реконструкція контактної мережі тролейбусу від вул.Кияшка (т.А) по вул.Кремлівській (т.Б) м.Запоріжжя</t>
  </si>
  <si>
    <t>Будівництво пасажирського терміналу та обслуговуючих споруд КП "Міжнародний аеропорт Запоріжжя"</t>
  </si>
  <si>
    <t>Огородження та система технічного нагляду і контролю доступу по периметру охоронної зони обмеженого доступу КП "Міжнародний аеропорт Запоріжжя" м.Запоріжжя, вул.Блакитна,4. Реконструкція</t>
  </si>
  <si>
    <t>Реконструкція елементів благоустрою пішохідної зони вул.Якова Новицького (від вул.Л.Жаботинського до вул.Перемоги) у Вознесенівському районі м.Запоріжжя</t>
  </si>
  <si>
    <t>Реконстукція парку ім. Пушкіна в м. Запоріжжя</t>
  </si>
  <si>
    <t>Реконструкція парку ім. Гагаріна в Комунарському районі м. Запоріжжя</t>
  </si>
  <si>
    <t xml:space="preserve">Капітальні видатки </t>
  </si>
  <si>
    <t>Будівництво дорожнього полотна пров. Ставропольський в м. Запоріжжя</t>
  </si>
  <si>
    <t xml:space="preserve">Реконструкція автодороги по вул. Бузковій в м. Запоріжжі </t>
  </si>
  <si>
    <t>Будівництво автотранспортної магістралі через р. Дніпро в м. Запоріжжя</t>
  </si>
  <si>
    <t>Заходи з підтримки кредитного рейтингу міста та його боргових зобов'язань забезпечення представництва органів місцевого самоврядування у громадських об'єднаннях, залучення громадськості та участь депутатів міської ради у вирішенні нагальних потреб міста</t>
  </si>
  <si>
    <t>Інші видатки в сфері житлово-комунального господарства та фінансування заходів з дезінсекції та дератизації</t>
  </si>
  <si>
    <t>Р.О.Пидорич</t>
  </si>
  <si>
    <t xml:space="preserve">Комунальна установа "Центральна лікарня Орджонікідзевського району" по бул.Шевченка,25 м.Запоріжжя - реконструкція </t>
  </si>
  <si>
    <t>Комунальна установа «Запорізька міська багатопрофільна дитяча лікарня №5» (відділення недоношених новонароджених)- реконструкція, м.Запоріжжя</t>
  </si>
  <si>
    <t>Комунальний заклад "Міська клінічна лікарня  №3" - реконструкція відділення очної травми та приймального відділення м.Запоріжжя</t>
  </si>
  <si>
    <t>Реконструкція вузла обліку газу КЗ"ЦПМСД №8"</t>
  </si>
  <si>
    <t>Реконструкція комунального закладу "Амбулаторія сімейного лікаря з вбудованою квартирою у селищі Тепличне в Шевченківському районі м.Запоріжжя"</t>
  </si>
  <si>
    <t>капітальні видатки</t>
  </si>
  <si>
    <t>Реконструкція першого поверху житлового будинку по вул.Новокузнецька, 20-а під амбулаторію сімейного лікаря в мікрорайоні "Південний" Комунарського району м.Запоріжжя</t>
  </si>
  <si>
    <t>Будівництво дитячого будинку сімейного типу в сел.Тепличне по вул.Центральній між будинками №№ 7а та 7 в м.Запоріжжя</t>
  </si>
  <si>
    <t>Реконструкція внутрішніх інженерних мереж житлового будинку по пр. Леніна, 173 в м.Запоріжжя</t>
  </si>
  <si>
    <t>Реконструкція гімназії №28 по вул.Лермонтова,16 Орджонікідзевського району м.Запоріжжя</t>
  </si>
  <si>
    <t>Будівництво мереж зовнішнього освітлення на внутрішньоквартальній території по вул. Космічна, 8а у м. Запоріжжі</t>
  </si>
  <si>
    <t xml:space="preserve">Будівництво мереж зовнішнього освітлення по вул. Закарпатська (від буд. №2 до буд. №39/42) у м.Запоріжжі </t>
  </si>
  <si>
    <t xml:space="preserve">Будівництво мереж зовнішнього освітлення по вул. Вахтова (від вул. Саперна до вул. Арбузова) у м.Запоріжжі </t>
  </si>
  <si>
    <t xml:space="preserve">Будівництво мереж зовнішнього освітлення по вул.Ситова, 2 у м.Запоріжжі </t>
  </si>
  <si>
    <t xml:space="preserve">Будівництво мереж зовнішнього освітлення по вул. Космічна 100, 100а, 100б, 102а у м. Запоріжжі </t>
  </si>
  <si>
    <t xml:space="preserve">Будівництво мереж зовнішнього освітлення по вул. Магара, 3 у м. Запоріжжі  </t>
  </si>
  <si>
    <t xml:space="preserve">Будівництво мереж зовнішнього освітлення по вул. Ентузіастів, 4 в м. Запоріжжя </t>
  </si>
  <si>
    <t xml:space="preserve">Будівництво мереж зовнішнього освітлення по вул. Лахтинська, 21 в м. Запоріжжя </t>
  </si>
  <si>
    <t xml:space="preserve">Будівництво мереж зовнішнього освітлення по вул. Запорізького козацтва, 3,5,7,11а,13а,15а в м. Запоріжжя </t>
  </si>
  <si>
    <t xml:space="preserve">Будівництво мереж зовнішнього освітлення по вул. Лахтинська, 3 в м. Запоріжжя  </t>
  </si>
  <si>
    <t xml:space="preserve">Будівництво мереж зовнішнього освітлення по вул. Козака Бабури, 10 в м. Запоріжжя </t>
  </si>
  <si>
    <t>Будівництво мереж зовнішнього освітлення по вул. Бульвар Будівельників, 19 в м. Запоріжжя</t>
  </si>
  <si>
    <t xml:space="preserve">Будівництво мереж зовнішнього освітлення по вул. Бульвар Будівельників, 15 в м. Запоріжжя </t>
  </si>
  <si>
    <t xml:space="preserve">Будівництво мереж зовнішнього освітлення по вул. М. Судца 3А в м. Запоріжжя </t>
  </si>
  <si>
    <t xml:space="preserve">Будівництво мереж зовнішнього освітлення по вул. Бородинська від буд. № 43а/1 до буд. 49А в м. Запоріжжя </t>
  </si>
  <si>
    <t xml:space="preserve">Будівництво мереж зовнішнього освітлення по вул. Відродження в м. Запоріжжя  </t>
  </si>
  <si>
    <t xml:space="preserve">Будівництво мереж зовнішнього освітлення по пров. Художній в м. Запоріжжя  </t>
  </si>
  <si>
    <t xml:space="preserve">Будівництво мереж зовнішнього освітлення по вул.Балкова (від вул. Григорія Квітки - Основ`яненка до вул. Ігоря Сікорського) у м.Запоріжжі  </t>
  </si>
  <si>
    <t>Будівництво мереж зовнішнього освітлення по вул. Іркутська (від річки Капустянка до вул. Кіровоградська) у м.Запоріжжі</t>
  </si>
  <si>
    <t xml:space="preserve">Будівництво мереж зовнішнього освітлення по вул. Бузкова у м. Запоріжжі </t>
  </si>
  <si>
    <t xml:space="preserve">Будівництво мереж зовнішнього освітлення по пров. Водний у м. Запоріжжі  </t>
  </si>
  <si>
    <t xml:space="preserve">Будівництво мереж зовнішнього освітлення по вул. Лассаля, 61  у м. Запоріжжі  </t>
  </si>
  <si>
    <t xml:space="preserve">Будівництво мереж зовнішнього освітлення по вул. Досягнень, 18-24 у м. Запоріжжі </t>
  </si>
  <si>
    <t xml:space="preserve">Будівництво мереж зовнішнього освітлення по пішохідної доріжки від вул. Автобусна до зуп.трамвая РМЗ в м. Запоріжжі </t>
  </si>
  <si>
    <t>Будівництво мереж зовнішнього освітлення по вул. Аваліані (з виходом на вул. Фортечна) в м. Запоріжжя</t>
  </si>
  <si>
    <t>Будівництво внутрішньо квартальних мереж зовнішнього освітлення по вул. Стефанова № 44,46 в м. Запоріжжя</t>
  </si>
  <si>
    <t>Будівництво мереж зовнішнього освітлення по пров. Придорожній в м. Запоріжжя</t>
  </si>
  <si>
    <t>Будівництво мереж зовнішнього освітлення по вул. Верхоянська в м. Запоріжжя</t>
  </si>
  <si>
    <t>Будівництво мереж зовнішнього освітлення по вул. Леоніда Приня в м. Запоріжжя</t>
  </si>
  <si>
    <t xml:space="preserve">Будівництво мереж зовнішнього освітлення по вул. Миколи Хвильового в м. Запоріжжя </t>
  </si>
  <si>
    <t>Будівництво мереж зовнішнього освітлення по вул. Нестерова, 1-24 в м. Запоріжжя</t>
  </si>
  <si>
    <t>Будівництво мереж зовнішнього освітлення по вул. Оріхівська в м. Запоріжжя</t>
  </si>
  <si>
    <t xml:space="preserve">Будівництво мереж зовнішнього освітлення по вул. Тольятті в м. Запоріжжя </t>
  </si>
  <si>
    <r>
      <t>Будівництво мереж зовнішнього освітлення  по вул.Кірова,19-41 у м.Запоріжж</t>
    </r>
    <r>
      <rPr>
        <sz val="9"/>
        <color indexed="17"/>
        <rFont val="Arial"/>
        <family val="2"/>
      </rPr>
      <t>я</t>
    </r>
  </si>
  <si>
    <t xml:space="preserve">Будівництво мереж зовнішнього освітлення на внутрішньоквартальній території по вул. Вавилова, № 6, 8, 10, 12- вул. Вишневського, №18, 20, 20-А, 22, 22-А, 24, 26, 28, 30- вул. Трегубова, №27, 29, 31,  33, 35, 37, 39 в м. Запоріжжя </t>
  </si>
  <si>
    <t>Будівництво мереж зовнішнього освітлення на внутрішньоквартальній території по вул. Вавилова, №2- вул. Кремлівська,№ 27 в м. Запоріжжя</t>
  </si>
  <si>
    <t>Будівництво мереж зовнішнього освітлення на внутрішньоквартальній території по вул. Кияшка, №24, 26, 28, 30, 32 в м. Запоріжжя</t>
  </si>
  <si>
    <t xml:space="preserve">Будівництво мереж зовнішнього освітлення по пров. Архангельський в м. Запоріжжя </t>
  </si>
  <si>
    <t>Будівництво мереж зовнішнього освітлення на внутрішньоквартальній території по вул.Ладозька,12 в м. Запоріжжя</t>
  </si>
  <si>
    <t>Будівництво мереж зовнішнього освітлення  по вул.Котельникова, 12-22 в м. Запоріжжя</t>
  </si>
  <si>
    <t xml:space="preserve">Будівництво мереж зовнішнього освітлення по вул. Зелена від вул.Котельникова до вул.Центральна в м. Запоріжжя </t>
  </si>
  <si>
    <t>Будівництво мереж зовнішнього освітлення на внутрішньоквартальній території по вул.Незалежної України (житловий будинок № 14-20) в м. Запоріжжя</t>
  </si>
  <si>
    <t>Будівництво мереж зовнішнього освітлення на внутрішньоквартальній території по вул.Верхня в м. Запоріжжя (будівельно-монтажні роботи)</t>
  </si>
  <si>
    <t>Будівництво мереж зовнішнього освітлення по вул. Скульптурна у м.Запоріжжі</t>
  </si>
  <si>
    <t>Будівництво мереж зовнішнього освітлення по вул. Мальовнича у м.Запоріжжі</t>
  </si>
  <si>
    <t>Будівництво мереж зовнішнього освітлення по пров. Перлинному (від вул. Медична до вул. Каховська) в м. Запоріжжя</t>
  </si>
  <si>
    <t>Будівництво мереж зовнішнього освітлення по вул. Норільська у м.Запоріжжі</t>
  </si>
  <si>
    <t>Реконструкція мереж зовнішнього освітлення по вул. Михайла Гончаренка в м.Запоріжжі</t>
  </si>
  <si>
    <t>Реконструкція мереж зовнішнього освітленн по вул. Паркова в м.Запоріжжі</t>
  </si>
  <si>
    <r>
      <t>Реконструкція мереж зовнішнього освітлення по вул. Північне шосе ( Вознесенівський район) в м.Запоріжж</t>
    </r>
    <r>
      <rPr>
        <sz val="9"/>
        <color indexed="17"/>
        <rFont val="Arial"/>
        <family val="2"/>
      </rPr>
      <t>і</t>
    </r>
  </si>
  <si>
    <t>Будівництво мереж зовнішнього освітлення по вул. Блакитна( дорога  до аеропорту  ) в м. Запоріжжя ( проектні роботи та експертиза)</t>
  </si>
  <si>
    <t>Будівництво мереж зовнішнього освітлення по пров.Адигейський у  м. Запоріжжя ( проектні роботи та експертиза)</t>
  </si>
  <si>
    <t>Будівництво мереж зовнішнього освітлення  на внутрішньоквартальній території по бул.Шевченка,27 у м.Запоріжжі (проектні роботи та експертиза)</t>
  </si>
  <si>
    <t>Будівництво мереж зовнішнього освітлення  на внутрішньоквартальній території по вул. Перемоги,35,37,37а,39  у м.Запоріжжі (проектні роботи та експертиза)</t>
  </si>
  <si>
    <t>Будівництво мереж зовнішнього освітлення по провулку між вул.Зернова та вул. Прогресивна у м.Запоріжжі (проектні роботи та експертиза)</t>
  </si>
  <si>
    <t>Будівництво мереж зовнішнього освітлення на внутрішньоквартальній території  по вул. Академіка Олександрова,17 у м.Запоріжжі (проектні роботи та експертиза)</t>
  </si>
  <si>
    <t>Будівництво мереж зовнішнього освітлення на внутрішньоквартальній території по вул.Руставі,2 у м.Запоріжжі</t>
  </si>
  <si>
    <t>Будівництво мереж зовнішнього освітлення по вул. Менонітська у м.Запоріжжі (проектні роботи та експертиза)</t>
  </si>
  <si>
    <t>Будівництво мереж зовнішнього освітлення по вул. Цілинна у м.Запоріжжі (проектні роботи та експертиза)</t>
  </si>
  <si>
    <t>Будівництво мереж зовнішнього освітлення по пров.Кубинський  у м. Запоріжжі (проектні роботи та експертиза)</t>
  </si>
  <si>
    <t>Будівництво мереж зовнішнього освітлення по вул. Історична, 4,6,6а,8,10 у м.Запоріжжі (проектні роботи та експертиза)</t>
  </si>
  <si>
    <t>Будівництво мереж зовнішнього освітлення по пров.Юр'ївський  у м.Запоріжжі (проектні роботи та експертиза)</t>
  </si>
  <si>
    <t>Будівництво мереж зовнішнього освітлення  по вул.Сімейна від вул.Броньова до вул.Дмитра Миргородського у м.Запоріжжі (проектні роботи та експертиза)</t>
  </si>
  <si>
    <t>Будівництво мереж зовнішнього освітлення  по вул. Дежньова  у м.Запоріжжі(проектні роботи та експертиза)</t>
  </si>
  <si>
    <t>Будівництво мереж зовнішнього освітлення  по вул.Технікумівська, 15-19,25-29 у м.Запоріжжі (проектні роботи та експертиза)</t>
  </si>
  <si>
    <t>Будівництво мереж зовнішнього освітлення по вул. Російська у м.Запоріжжі (проектні роботи та експертиза)</t>
  </si>
  <si>
    <t>Будівництво мереж зовнішнього освітлення по вул. Лазаретна, 8-13,24-28 у м.Запоріжжі (проектні роботи та експертиза)</t>
  </si>
  <si>
    <t>Будівництво мереж зовнішнього освітлення по від вул.Гоголя,21-31а   у м.Запоріжжі   (проектні роботи та експертиза)</t>
  </si>
  <si>
    <t>Будівництво мереж зовнішнього освітлення  по вул. Нова у м.Запоріжжі (проектні роботи та експертиза)</t>
  </si>
  <si>
    <t>Будівництво мереж зовнішнього освітлення  по пров.Збройний у м.Запоріжжі (проектні роботи та експертиза)</t>
  </si>
  <si>
    <t>Будівництво мереж зовнішнього освітлення по вул. Січових стрільців від вул.Шевченка  до р. Суха Московка у м.Запоріжжі (проектні роботи та експертиза)</t>
  </si>
  <si>
    <t xml:space="preserve">Реконструкція елементів благоустрою на Майдані Героїв в м. Запоріжжі </t>
  </si>
  <si>
    <t>Реконструкція зони відпочинку по вул.Л.Шмідта під пляж м. Запоріжжя</t>
  </si>
  <si>
    <t>Реконструкція вул. Земського лікаря Лукашевича від пр. Соборний  до вул.  Жуковського в м. Запоріжжя (Реконструкція вул. Жовтневої від пр. Леніна  до вул.  Жуковського в Жовтневому районі  м. Запоріжжя)</t>
  </si>
  <si>
    <t xml:space="preserve">Реконструкція автодороги по вул. Дніпровській від Прибрежної магістралі до вул Поштової в м. Запоріжжя </t>
  </si>
  <si>
    <t>Реконструкція автодороги по вул.Тиражній та автомобільної дороги, яка з'єднує автодорогу Н-08 Бориспіль-Дніпропетровськ-Запоріжжя (через Кременчуг) в м.Запоріжжі (від вул.Ватутіна до вул.Інститутській(автозаправка WOG)</t>
  </si>
  <si>
    <t xml:space="preserve">Реконструкція автодороги по пр. Маяковського від пр. Соборний до вул. Патріотичної  в м. Запоріжжі  </t>
  </si>
  <si>
    <t>Реконструкція шляхопроводу по пр.Металургів в м.Запоріжжі</t>
  </si>
  <si>
    <t xml:space="preserve">Реконструкція  пішохідного мосту по пр. Металургів в м. Запоріжжі </t>
  </si>
  <si>
    <t xml:space="preserve">Реконструкція шляхопроводу №2 по вул.Калібровій в м. Запоріжжя                                                                                    </t>
  </si>
  <si>
    <t xml:space="preserve">Реконструкція шляхопроводу №1 по вул.Калібровій в м. Запоріжжі                                                                                   </t>
  </si>
  <si>
    <t xml:space="preserve">Реконструкція  шляхопроводу №39 по пр. Соборний  (район вул. 12 Квітня)  в м. Запоріжжі  </t>
  </si>
  <si>
    <t xml:space="preserve">Реконструкція дороги по ул. Дунайскій в м. Запоріжжі з влаштуванням відводу поверхневих стоків </t>
  </si>
  <si>
    <t xml:space="preserve">Реконструкція автодороги по  Прибережній магістралі від вул. Глісерної до автомобільного мосту через р. Мокра Московка в м. Запоріжжя </t>
  </si>
  <si>
    <t>Реконструкція автодороги по вул.Ударників м. Запоріжжі</t>
  </si>
  <si>
    <t>Будівництво крематорію в м.Запоріжжя</t>
  </si>
  <si>
    <t>Реконструкція площі Запорізької в м. Запоріжжя</t>
  </si>
  <si>
    <t>Реконструкція об'єкта благоустрою "Правобережного міського пляжу",  м. Запоріжжя  (проектні та вишукувальні роботи)</t>
  </si>
  <si>
    <r>
      <t>Реконструкція пішохідного моста через річку Суха Московка по вул. Симфонічній в м. Запоріжж</t>
    </r>
    <r>
      <rPr>
        <sz val="10"/>
        <color indexed="57"/>
        <rFont val="Times New Roman"/>
        <family val="1"/>
      </rPr>
      <t>я</t>
    </r>
  </si>
  <si>
    <t>Будівництво полігону твердих побутових відходів №3 на землях Сонячної селищної Ради, Запорізького району, Запорізької області</t>
  </si>
  <si>
    <t xml:space="preserve">Реконструкція пішохідної частини проспекту Маяковського в м. Запоріжжі </t>
  </si>
  <si>
    <t xml:space="preserve">Реконструкція зливової каналізації в районі будинку №5 по вул. Челябінській в м. Запоріжжі </t>
  </si>
  <si>
    <t xml:space="preserve">Будівництво трамвайної колії від пр.Соборного (пр. Леніна)  до вул.Земського лікаря Лукашевича (вул. Жовтневої) в м.Запоріжжі </t>
  </si>
  <si>
    <t>Будівництво пішохідного переходу по вул. Радіальній через шламонакопичувач у м. Запоріжжі</t>
  </si>
  <si>
    <r>
      <t>Будівництво мереж зовнішнього освітлення по вул. Довженк</t>
    </r>
    <r>
      <rPr>
        <sz val="9"/>
        <rFont val="Arial"/>
        <family val="2"/>
      </rPr>
      <t xml:space="preserve">а (від вул. Лірична до вул. Московська) у м. Запоріжжі </t>
    </r>
  </si>
  <si>
    <r>
      <t>Будівництво мереж зовнішнього освітлення по вул. Лірична (від вул. Волоколамська до вул. Довженк</t>
    </r>
    <r>
      <rPr>
        <sz val="9"/>
        <rFont val="Arial"/>
        <family val="2"/>
      </rPr>
      <t xml:space="preserve">а) у м. Запоріжжі  </t>
    </r>
  </si>
  <si>
    <r>
      <t xml:space="preserve">Будівництво мереж зовнішнього освітлення по пров.Ржевський </t>
    </r>
    <r>
      <rPr>
        <sz val="9"/>
        <rFont val="Arial"/>
        <family val="2"/>
      </rPr>
      <t>в м.Запоріжжя</t>
    </r>
  </si>
  <si>
    <r>
      <t>Будівництво мереж зовнішнього освітлення по проїзду Піонерськ</t>
    </r>
    <r>
      <rPr>
        <sz val="9"/>
        <rFont val="Arial"/>
        <family val="2"/>
      </rPr>
      <t xml:space="preserve">ому в м. Запоріжжя </t>
    </r>
  </si>
  <si>
    <r>
      <t xml:space="preserve">Реконструкція мереж зовнішнього освітлення по вул. Освітянська </t>
    </r>
    <r>
      <rPr>
        <sz val="9"/>
        <rFont val="Arial"/>
        <family val="2"/>
      </rPr>
      <t xml:space="preserve"> в м.Запоріжжя</t>
    </r>
  </si>
  <si>
    <r>
      <t xml:space="preserve">Реконструкція мереж зовнішнього освітлення по вул. Новомосковська </t>
    </r>
    <r>
      <rPr>
        <sz val="9"/>
        <rFont val="Arial"/>
        <family val="2"/>
      </rPr>
      <t xml:space="preserve"> в м.Запоріжжя</t>
    </r>
  </si>
  <si>
    <r>
      <t>Реконструкція зовнішніх мереж водопостачання та водовідведення на території ЦП</t>
    </r>
    <r>
      <rPr>
        <sz val="10"/>
        <rFont val="Times New Roman"/>
        <family val="1"/>
      </rPr>
      <t>КВ "Дубовий Гай" по вул.Глісерна,1 з підключенням до існуючих мереж Олександрівського району  м.Запоріжжя</t>
    </r>
  </si>
  <si>
    <r>
      <rPr>
        <sz val="10"/>
        <rFont val="Times New Roman"/>
        <family val="1"/>
      </rPr>
      <t>Реконструкція тротуару по вул. Розенталь від вул. Істоміна до вул. Петра Бузука в м.Запоріжжя</t>
    </r>
  </si>
  <si>
    <r>
      <t>Реконструкція зливової каналізації по вул. Задніпровські</t>
    </r>
    <r>
      <rPr>
        <sz val="10"/>
        <rFont val="Times New Roman"/>
        <family val="1"/>
      </rPr>
      <t xml:space="preserve">й в Запоріжжя </t>
    </r>
  </si>
  <si>
    <r>
      <t>Реконструкція дороги на перехресті пр. Соборний та площі  Запорізької</t>
    </r>
    <r>
      <rPr>
        <sz val="10"/>
        <rFont val="Times New Roman"/>
        <family val="1"/>
      </rPr>
      <t xml:space="preserve"> в м.Запоріжжя (улаштування перехідно-швидкісної  смуги )</t>
    </r>
  </si>
  <si>
    <r>
      <t>Реконструкція транспортної розв'язки на виїзді з першого мосту Преображенського на о. Хортиця м. Запоріжжя</t>
    </r>
    <r>
      <rPr>
        <sz val="10"/>
        <rFont val="Times New Roman"/>
        <family val="1"/>
      </rPr>
      <t xml:space="preserve"> (улаштування  перехідно-швидкісної смуги)</t>
    </r>
  </si>
  <si>
    <r>
      <t>Реконструкція автодороги по вул.</t>
    </r>
    <r>
      <rPr>
        <sz val="10"/>
        <rFont val="Times New Roman"/>
        <family val="1"/>
      </rPr>
      <t>Тимірязєва від вул. 8 Березня до вул. Солідарності в м. Запоріжжі</t>
    </r>
  </si>
  <si>
    <r>
      <t>Реконструкція  вул. Лермонтова ( вул. Жаботинського до вул. Заводської) м. Запоріж</t>
    </r>
    <r>
      <rPr>
        <sz val="10"/>
        <rFont val="Times New Roman"/>
        <family val="1"/>
      </rPr>
      <t>жя"</t>
    </r>
  </si>
  <si>
    <r>
      <t>Реконструкція автодороги</t>
    </r>
    <r>
      <rPr>
        <sz val="10"/>
        <rFont val="Times New Roman"/>
        <family val="1"/>
      </rPr>
      <t xml:space="preserve"> по вул.Ферганська в м. Запоріжжі</t>
    </r>
  </si>
  <si>
    <t>Реконструкція елементів благоустрою скверу по вул. Бочарова-вул. Чарівній в Шевченківському районі м. Запоріжжя</t>
  </si>
  <si>
    <t>Будівництво мереж зовнішнього освітлення на внутрішньоквартальній теритотрії по вул. Костянтина Великого 16,18,20  у м.Запоріжжі (проектні роботи та експертиза)</t>
  </si>
  <si>
    <t>Встановлення спортивного майданчику</t>
  </si>
  <si>
    <t>Реконструкція пішохідного тротуару від вул.Хортицьке шосе (магазин АТБ) вздовж будинку вул.Рубана 20 до кола 18 мікрорайона</t>
  </si>
  <si>
    <t>Облаштування поля для мініфутбоу</t>
  </si>
  <si>
    <t>Реконструкція приміщення за адресою пр. Соборний 182а м. Запоріжжя під відділення соціальної реабілітації дітей-інвалідів Вознесенівського району Запорізького міського територіального центру соціального обслуговування (надання соціальних послуг)</t>
  </si>
  <si>
    <t>Реконструкція будівлі Міського Палацу дитячої та юнацької творчості, за адресою: пл.Леніна ,1 в м.Запоріжжі</t>
  </si>
  <si>
    <t>Термомодернізація загальноосвітньої школи І-ІІІ ступенів № 101 по вул.Бочарова, 10б,  м.Запоріжжя - реконструкція</t>
  </si>
  <si>
    <t xml:space="preserve">Реконструкція будівлі в частині прибудови приміщень їдальні Запорізького класичного ліцею по вул.Правди,23 в м.Запоріжжі </t>
  </si>
  <si>
    <t xml:space="preserve">Реконструкція елементів благоустрою комплексу спортивних майданчиків колегіуму №98 по вул.Запорізькій,1а, м. Запоріжжя </t>
  </si>
  <si>
    <t xml:space="preserve">Реконструкція елементів благоустрою комплексу спортивних майданчиків ЗНЗ №№69/100 по вул.Ладозькій,2/вул.Ладозькій,2а, м. Запоріжжя </t>
  </si>
  <si>
    <t xml:space="preserve">Реконструкція елементів благоустрою комплексу спортивних майданчиків ЗНЗ №71 по пр.Маяковського,8, м. Запоріжжя </t>
  </si>
  <si>
    <t xml:space="preserve">Реконструкція елементів благоустрою комплексу спортивних майданчиків загальноосвітньої школи  для ЗНЗ №33 м. Запоріжжя вул.Ніжинська,40 </t>
  </si>
  <si>
    <t>Реконструкція будівлі дошкільного навчального закладу № 220 по вул. Давидова, 11 Ленінського району, м.Запоріжжя</t>
  </si>
  <si>
    <t>Проектування та встановлення пам'ятного знаку зі скульптурною композицією І-му в світі дворазовому олімпійському чемпіону з ваажкої атлетики в суперважкій вазі, Почесному громадянину м.Запоріжжя і Запорізької області - Л.І.Жаботинському</t>
  </si>
  <si>
    <t>Безпечне місто Запоріжжя</t>
  </si>
  <si>
    <t>Реконструкція елементів благоустрою території з встановленням декоративної скульптури, присвяченої ліквідаторам Чорнобильської катастрофи вздовж Вознесенівського узвозу в м.Запоріжжя</t>
  </si>
  <si>
    <t>Реконструкція тротуару по пр.Моторобудівників (від вул.Іванова до вул. Брюллова - парна сторона) в Шевченківському районі м. Запоріжжя</t>
  </si>
  <si>
    <t>Реконструкція площі, прилеглої до меморіального комплексу "Летять журавлі" в Шевченківському районі м. Запоріжжя</t>
  </si>
  <si>
    <t>Реконструкція парку ім. ак.В.Я Клімова в Шевченківському районі м. Запоріжжя</t>
  </si>
  <si>
    <t>Реконструкція скверу ім. 30 річчя визволення України від фашистських загарбників по вул. Л. Чайкіної в м. Запоріжжя</t>
  </si>
  <si>
    <t>Зовнішні мережі електропостачання Кушугумського кладовища у м.Запоріжжя - нове будівництво</t>
  </si>
  <si>
    <t>1115030</t>
  </si>
  <si>
    <t>5030</t>
  </si>
  <si>
    <t>1115031</t>
  </si>
  <si>
    <t>5031</t>
  </si>
  <si>
    <t>1115041</t>
  </si>
  <si>
    <t>5041</t>
  </si>
  <si>
    <t>1115040</t>
  </si>
  <si>
    <t>5040</t>
  </si>
  <si>
    <t>Підтримка і розвиток спортивної інфраструктури</t>
  </si>
  <si>
    <t xml:space="preserve">Реконструкція приміщень філії Центру надання адміністративних послуг Південного мікрорайону по вул.Новокузнецька/ вул.Автозаводська, 1/12  в м.Запоріжжя </t>
  </si>
  <si>
    <t>Реконструкція приміщень філії Центру надання адміністративних послуг Хортицького району по пр.Інженера Преображенського, буд.1 в м.Запоріжжі</t>
  </si>
  <si>
    <t>Реконструкція приміщень філії Центру надання адміністративних послуг Шевченківського району по пр.Моторобудівників, буд.34 в м.Запоріжжі</t>
  </si>
  <si>
    <t>Технічне переоснащення котельні по вул.Горького,6 з підключенням будинків по вул.Жовтнева,2 та вул.Жовтнева,4 в м.Запоріжжя</t>
  </si>
  <si>
    <t>Реконструкція водоводу діаметром 500мм на території ДніпроГЕС м.Запоріжжя</t>
  </si>
  <si>
    <t>Реконструкція центральних каналізаційних очисних споруд Лівового берега (ЦОС-1). Мулові ставки м.Запоріжжя</t>
  </si>
  <si>
    <t>Забезпечення належних умов для виховання та розвитку дітей-сиріт і дітей, позбавлених батьківського піклування, в дитячих будинках (у т.ч. сімейного типу та прийомних сім'ях), в сім'ях патронатного вихователя</t>
  </si>
  <si>
    <t>Розвиток дитячо-юнацького та резервного спорту</t>
  </si>
  <si>
    <t>Утримання комунальних спортиіних споруд</t>
  </si>
  <si>
    <t>Реконструкція павільйону-накопичувача П-72 літ.К-4 інв.№000082 (будівля для обслуговування пасажирів на внутрішніх авіалініях) КП "Міжнародний аеропорт Запоріжжя" розташованого за адресою: м.Запоріжжя, вул.Блакитна, буд.4</t>
  </si>
  <si>
    <t>Термомодернізація будівлі Запорізького міського територіального центру соціального обслуговування (надання соціальних послуг) за адресою: вул.Парамонова, 11а м. Запоріжжя - реконструкція</t>
  </si>
  <si>
    <t>Будівництво мереж зовнішнього освітлення по вул. Європейська, 4 у м.Запоріжжі</t>
  </si>
  <si>
    <t>Будівництво мереж зовнішнього освітлення по вул. Тимірязєва (від вул. Балкова до вул. Баранова) у м. Запоріжжі</t>
  </si>
  <si>
    <t>Будівництво мереж зовнішнього освітлення  пров.Кедровий (від вул. Учительської до вул.Каспійської) у м. Запоріжжі</t>
  </si>
  <si>
    <t>Будівництво мереж зовнішнього освітлення по вул. Балка-Поповка (від буд.241 до буд. №315) у м.Запоріжжя</t>
  </si>
  <si>
    <t>Будівництво мереж зовнішнього освітлення на внутрішньоквартальній території по вул. Ситова, 9, 9а, 9б, 11б і вул.Північнокольцева,12 у м.Запоріжжі</t>
  </si>
  <si>
    <t>Будівництво мереж зовнішнього освітлення на внутрішньоквартальній території по вул. Незалежної України,42 у м.Запоріжжі</t>
  </si>
  <si>
    <t>Будівництво мереж зовнішнього освітлення по вул.Запорізького козацтва,17,19,21,23,21а,27,29,31,33,35  в м.Запоріжжя</t>
  </si>
  <si>
    <t>Будівництво мереж зовнішнього освітлення по вул.Гудименка, 18 (зона парку ЗОШ №40)  в м.Запоріжжя</t>
  </si>
  <si>
    <t>Будівництво мереж зовнішнього освітлення по вул. Волоколамська (від вул. Ферганська до вул. Владивостоцька) у м.Запоріжжі</t>
  </si>
  <si>
    <t>Будівництво мереж зовнішнього освітлення по вул. Електрична, 241, 241а в м. Запоріжжя</t>
  </si>
  <si>
    <t>Будівництво мереж зовнішнього освітлення вулиці Косарєва (від вул. Билкіна до вул. Автобусної) у м. Запоріжжі</t>
  </si>
  <si>
    <t>Реконструкція мереж зовнішнього освітлення по вул. Ризька в м. Запоріжжі</t>
  </si>
  <si>
    <t>Реконструкція мереж зовнішнього освітлення по вул. Автодорівська в м. Запоріжжі</t>
  </si>
  <si>
    <t>Реконструкція мереж зовнішнього освітлення по пров. Глибокий в м.Запоріжжі</t>
  </si>
  <si>
    <t>Реконструкція мереж зовнішнього освітлення по Прибрежній магістралі (від р. Мокра Московка до р. Суха Московка) у  м. Запоріжжя</t>
  </si>
  <si>
    <t>Реконструкція мереж зовнішнього освітлення по Прибрежній магістралі (від  р. Суха Московка до вул. Тюленіна) у  м. Запоріжжя</t>
  </si>
  <si>
    <t>Будівництво мереж зовнішнього освітлення по пров. Глибокий у м.Запоріжжі</t>
  </si>
  <si>
    <t>Будівництво мереж зовнішнього освітлення по вул. Колонтай у м. Запоріжжі</t>
  </si>
  <si>
    <t>Будівництва мереж зовнішнього освітлення по вул. Азовській у м.Запоріжжі</t>
  </si>
  <si>
    <t>Будівництво мереж зовнішнього освітлення по вул. Початкова у м.Запоріжжі</t>
  </si>
  <si>
    <t>Будівництво мереж зовнішнього освітлення по пров. Боковий (від вул. Основна до вул. Амурська) в м. Запоріжжя</t>
  </si>
  <si>
    <t>Реконструкція мереж зовнішнього освітлення по вул. Кустанайська (з виходом на вул.Горобинова) в м. Запоріжжя</t>
  </si>
  <si>
    <t>Реконструкція мереж зовнішнього освітлення по вул. Крилова в м. Запоріжжі</t>
  </si>
  <si>
    <t>Будівництво мереж зовнішнього освітлення по вул. Волзька (від вул. Листопрокатна до вул. Виробнича) в м.Запоріжжя</t>
  </si>
  <si>
    <t>Будівництво мереж зовнішнього освітлення по вул. Овочівництва на о. Хортиця</t>
  </si>
  <si>
    <t>Будівництво мереж зовнішнього освітлення по вул.Козака Бабури,20 (дитячий майданчик) в м.Запоріжжя</t>
  </si>
  <si>
    <t>Будівництво мереж зовнішнього освітлення по вул. Дальня в м.Запоріжжя</t>
  </si>
  <si>
    <t>Будівництво мереж зовнішнього освітлення по вул. Тверська (від вул. Карпенка-Карого до вул. Орликова) в м.Запоріжжя</t>
  </si>
  <si>
    <t>Будівництво мереж зовнішнього освітлення по вул. Бодянського у м.Запоріжжі</t>
  </si>
  <si>
    <t>Житловий будинок  по вул. Вузлова,21 - реконструкція мереж гарячого водопостачання та системи теплопостачання м.Запоріжжя</t>
  </si>
  <si>
    <t>Реконструкція житлового будинку по вул.Республіканська,88 в м.Запоріжжя</t>
  </si>
  <si>
    <t>Підключення до існуючих мереж ігрового блоку модульного містечка та благоустрій території за адресою вул.Стешенко,18 м.Запоріжжя - реконструкція</t>
  </si>
  <si>
    <t>Реконструкція будівлі по вул.Таганська,8 під соціальний готель (проектні та будівельні роботи)</t>
  </si>
  <si>
    <t>6051</t>
  </si>
  <si>
    <t>4016051</t>
  </si>
  <si>
    <t>Забезпечення функціонування теплових мереж</t>
  </si>
  <si>
    <t>6050</t>
  </si>
  <si>
    <t>4016050</t>
  </si>
  <si>
    <t>Фінансова підтримка об'єктів комунального господарства</t>
  </si>
  <si>
    <t>Реконструкція системи газопостачання в частині виносу газопроводу н/т в районі ж.б.№ 24 по вул.Лобановського</t>
  </si>
  <si>
    <t>Реконструкція прибудинкової території в межах вулиць пр.Соборний,189, вул.Парковий, 9,11,13, вул.Богдана Хмельницького,5, вул.Валерія Лобановського, 10,12,14 у м.Запоріжжі</t>
  </si>
  <si>
    <t>Реконструкція філії Центру надання адміністративних послуг Ленінського та Хортицького районів по вул.Кияшко, буд.22 в м.Запоріжжя</t>
  </si>
  <si>
    <t>Реконструкція Центру надання адміністративних послуг Центральний по бул.Центральному, буд.27 в м.Запоріжжя</t>
  </si>
  <si>
    <t>Реконструкція філії Центру надання адміністративних послуг Комунарського району в м.Запоріжжя (по вул.Чумаченка,32)</t>
  </si>
  <si>
    <t>Реконструкція проїзду з улаштуванням гостьової стоянки біля житлового будинку по вул.Незалежної України,58</t>
  </si>
  <si>
    <t>Будівництво мереж зовнішнього освітлення по вул.Горна у м.Запоріжжі (проектні роботи та експертиза)</t>
  </si>
  <si>
    <t>Будівництво мереж зовнішнього освітлення по вул. Милосердя в м. Запоріжжя)</t>
  </si>
  <si>
    <t>КРБП "Зеленбуд" (обладнання для гідропосіву - 1 од.)</t>
  </si>
  <si>
    <t>Будівництво мереж зовнішнього освітлення по вул. Калузька в м. Запоріжжя</t>
  </si>
  <si>
    <t>Реконструкція житлового будинку по вул.Гастелло,26 в м.Запоріжжя</t>
  </si>
  <si>
    <t>Реконструкція з газифікації житлового будинку по вул.Горького,99 в м.Запоріжжя</t>
  </si>
  <si>
    <t>Реконструкція будівлі  насосної станції (літера А) з розташуванням в ній котельної та насосної групи по вул. Софіївській, 232Б в м. Запоріжжя</t>
  </si>
  <si>
    <t>Реконструкція водопроводу ДН 250 мм на селище Креміно в обхід території ЗТПВ Абразивного комбінату в м.Запоріжжя</t>
  </si>
  <si>
    <t>Реконструкція житлової кімнати на другому поверсі під житловий блок гуртожитку по вул.Незалежної України,21 (40 років Радянської України)</t>
  </si>
  <si>
    <t>Реконструкція пішохідного переходу через балку Маркусова від вул.Історичної довул.Сеченова в м.Запоріжжі</t>
  </si>
  <si>
    <t>Будівництво мереж декоративного зовнішнього освітлення по Прибережній магістралі в районі Центрального пляжу в м.Запоріжжі</t>
  </si>
  <si>
    <t>Реконструкція автодороги Запоріжжя - Підпорожнянка на Дніпровську водопровідну станцію (ДВС-1) в районі шлакових відвалів ВАТ "Запоріжсталь" у м.Запоріжжя</t>
  </si>
  <si>
    <t>Реконструкція автодороги по вул.Гродненській в м.Запоріжжі</t>
  </si>
  <si>
    <t>Реконструкція автодороги по вул.Стрельникова в м.Запоріжжі</t>
  </si>
  <si>
    <t>Реконструкція автодороги по вул.Академіка Філатова в м.Запоріжжі</t>
  </si>
  <si>
    <t xml:space="preserve">Будівництво мереж зовнішнього освітлення на внутрішньоквартальній території по вул. Кремлівська,№ 5, 7, 9, 11, 13, 15 - вул. Мінська, 3, 4, 6, 8 - вул. Таганська, 4- вул. Ризька, 3 - вул. Трегубова, №6,8  в м. Запоріжжя </t>
  </si>
  <si>
    <t>Реконструкція Запорізького багатопрофільного ліцею "Перспектива" Запорізької міської ради по вул.Уральській, 3б в м.Запоріжжя</t>
  </si>
  <si>
    <t>Реконструкція загальноосвітньої школи І-ІІ ступенів №13 по вул.Селищній,50 в м.Запоріжжі</t>
  </si>
  <si>
    <t>Придбання житла для окремих категорій громадян</t>
  </si>
  <si>
    <t>Реконструкція  тротуару по вул. Круговій від вул. Іванова до вул. Паралельної в м. Запоріжжі</t>
  </si>
  <si>
    <r>
      <t>Реконструкція тротуару по вул. Медична в м. Запоріжжі</t>
    </r>
    <r>
      <rPr>
        <sz val="10"/>
        <rFont val="Times New Roman"/>
        <family val="1"/>
      </rPr>
      <t>(від вул.Айвазовського до вул.Панаса Мирного)</t>
    </r>
  </si>
  <si>
    <t>КП "Титан" (придбання блочного насосу та комплектуючих з монтажем - 1 од., приладу управління плавного пуску та комплектуючих з монтажем - 1 од., модульних туалетних кабін - 2од., медичного пункту - 1 од.)</t>
  </si>
  <si>
    <t>Реконструкція центральної алеї скверу по пр.Ювілейному в Хортицькому районі у м.Запоріжжя</t>
  </si>
  <si>
    <t>Будівництво мереж зовнішнього освітлення по вул. Магістральна,1-44 в м. Запоріжжя</t>
  </si>
  <si>
    <t>Керівництво і управління у сфері забезпечення діяльності міської ради та її виконавчого комітету</t>
  </si>
  <si>
    <t>0310180</t>
  </si>
  <si>
    <t>Реконструкція будівлі районної адміністрації Запорізької міської ради по Хортицькому району за  адресою: бульвар Будівельників,19 в Хортицькому районі м.Запоріжжя</t>
  </si>
  <si>
    <r>
      <t xml:space="preserve">Реконструкція дороги по вул. Південноукраїнська та вул. Панфіловців з влаштуванням гостьових автомобільних  стоянок </t>
    </r>
    <r>
      <rPr>
        <sz val="10"/>
        <color indexed="17"/>
        <rFont val="Times New Roman"/>
        <family val="1"/>
      </rPr>
      <t>м.Запоріжжя</t>
    </r>
  </si>
  <si>
    <t>Будівництво мереж зовнішнього освітлення по вул. Стартова від траси Харків-Сімферополь до вул. Базова в м. Запоріжжя (проектні роботи та експертиза)</t>
  </si>
  <si>
    <t>Реконструкція мереж зовнішнього освітлення по вул. Стартова від вул. Базова до сел. Військбуд в м. Запоріжжя (проектні роботи та експертиза)</t>
  </si>
  <si>
    <t>Реконструкція скверу Театрального в м.Запоріжжя</t>
  </si>
  <si>
    <t>Концерн " Міські теплові мережі" (дизель генератор ТРН RR 110 на автомобільному прицепі - 1 од., автомобіль спеціальний аварійний Peugeot Partner - 14 од., мотопомпа VK 150-3/1T-SP - 1од., подрібнювач деревини FARMI 180HF - 1 од., самоскид АС-3253/1КОБАЛЬТ на шасі FotonDaimler - 1 од.)</t>
  </si>
  <si>
    <t>Реконструкція каналізаційного колектору в парку "Дубовий гай" м.Запоріжжя</t>
  </si>
  <si>
    <t>Запорізьке комунальне підприємство міського електротранспорту "Запоріжелектротранс" (тролейбуси -10 од., автобуси - 16 од., встановлення систем моніторингу та диспетчеризації транспортних засобів із впровадженням програмного забезпечення та встановлення інтерактивних екранів на зупинках міського електротранспорту, капітальний ремонт трамваїв Т-3 із заміною кузова на новий - 4 од.)</t>
  </si>
  <si>
    <t>Будівництво мереж зовнішнього освітлення по вул. Грязнова, 88, 88а, 88б, 90а, 90, 94 у м. Запоріжжі</t>
  </si>
  <si>
    <t>Будівництво мереж зовнішнього освітлення по вул.Лахтинська,6 в м.Запоріжжя</t>
  </si>
  <si>
    <t>Будівництво мереж зовнішнього освітлення по вул.Лахтинська,13,13а,15,17,19,21/пр.Ювілейний,33,35,50/вул Задніпровська,48 в м.Запоріжжя</t>
  </si>
  <si>
    <t>Будівництво мереж зовнішнього освітлення по вул. Стрєльникова у м.Запоріжжі</t>
  </si>
  <si>
    <t>Будівництво мереж зовнішнього освітлення по вул.Московська (від вул. Слави до вул. Памірська) у м.Запоріжжі</t>
  </si>
  <si>
    <t>Реконструкція мереж зовнішнього освітлення по вул. Димитрова (від вул. Харчова до траси Харків - Сімферополь) у м. Запоріжжі</t>
  </si>
  <si>
    <t>Реконструкція мереж зовнішнього освітлення по вул. Єднання у м.Запоріжжі</t>
  </si>
  <si>
    <t>Реконструкція мереж зовнішнього освітлення по пр. Радянський, навколо БК Хортицький в м.Запоріжжі</t>
  </si>
  <si>
    <t>"Ситуаційний командний центр, Центр обробки відеоданих Запорізької міської ради, Програмно-апаратний комплекс відеоспостереження" з проведенням реконструкції будівлі за адресою пров.Явірний, 8а, м.Запоріжжя</t>
  </si>
  <si>
    <t>2900000</t>
  </si>
  <si>
    <t>29</t>
  </si>
  <si>
    <t>Архівне управління Запорізької міської ради</t>
  </si>
  <si>
    <t>2910000</t>
  </si>
  <si>
    <t>2910100</t>
  </si>
  <si>
    <t>2910180</t>
  </si>
  <si>
    <t>Керівництво і управління у сфері архівної справи і діловодства</t>
  </si>
  <si>
    <t>Реконструкція автодороги по вул.Шкільній від вул.Фортечної до вул.Першої ливарної в м.Запоріжжі</t>
  </si>
  <si>
    <t>Будівництво дитячого майданчику по вул. Незалежності в Шевченківському районі м.Запоріжжя</t>
  </si>
  <si>
    <r>
      <t>Реконструкція автодороги  по</t>
    </r>
    <r>
      <rPr>
        <sz val="10"/>
        <rFont val="Times New Roman"/>
        <family val="1"/>
      </rPr>
      <t xml:space="preserve"> пров. Штурманський в м. Запоріжжі </t>
    </r>
  </si>
  <si>
    <t>Реконструкція тротуару по вул. Брюлова в Шевченківському районі м. Запоріжжя</t>
  </si>
  <si>
    <t>Будівництво світлофорного об'єкту з визивним пристроєм по вул.Очаківській в районі зупинки громадського транспорту "Дослідна станція" в м.Запоріжжі"</t>
  </si>
  <si>
    <t>Будівництво мереж зовнішнього освітлення по вул. Знаменська у м. Запоріжжі (проектні роботи та експертиза)</t>
  </si>
  <si>
    <t>Будівництво дитячого майданчика для дітей-інвалідів по вул. М.Корищенко,26 в м.Запоріжжя</t>
  </si>
  <si>
    <t>Ремонтні та реставраційні роботи по будівлі закладу охорони здоров'я "Студентська поліклініка" по пр.Леніна, 59 в м.Запоріжжя</t>
  </si>
  <si>
    <t>Реконструкція будівель та інженерних комунікацій КУ "Міська клінічна лікарня екстреної та швидкої медичної допомоги" по вул.Перемоги, 80 м.Запоріжжя</t>
  </si>
  <si>
    <t>Реконструкція будівлі дошкільного навчального закладу № 186 по вул.12 Квітня,2а у м.Запоріжжя</t>
  </si>
  <si>
    <t>Комунальне підприємство "ЦУІТ" (автомобіль - 1 од.)</t>
  </si>
  <si>
    <t>СКП "Запорізька ритуальна служба" (самоскид - 2 од., мотокоса - 5 од., інвертор зварювальний - 1 од., кран підкатний знімач двигуна - 1 од.)</t>
  </si>
  <si>
    <t>Будівництво "Алея випускників" в м.Запоріжжі</t>
  </si>
  <si>
    <t>Реконструкція нежитлового приміщення №189 в житловому будинку по вул.Історична,39 в м.Запоріжжя під житлову квартиру</t>
  </si>
  <si>
    <t>Реконструкція мереж зовнішнього освітлення по пр.Моторобудівників в м.Запоріжжя</t>
  </si>
  <si>
    <t>Реконструкція аварійної ділянки самопливного каналізаційного колектору в парку "Дубовий гай" в м.Запоріжжі</t>
  </si>
  <si>
    <t>Будівництво дитячого майданчику для дітей-інвалідів по вул. Незалежності в Шевченківському районі м.Запоріжжя</t>
  </si>
  <si>
    <t>Комунальне підприємство "Наше місто" (комп'ютерна техніка -47 од.)</t>
  </si>
  <si>
    <t>КП "Запоріжремсервіс" (аварійні машин - 15 од., компютерна техніка - 13 од., GSM - шлюз - 1 од., агрегат "Кобра 22" з набором інструментів - 30 од., відбійний молоток - 28 од.)</t>
  </si>
  <si>
    <t>31.05.2017 №36</t>
  </si>
</sst>
</file>

<file path=xl/styles.xml><?xml version="1.0" encoding="utf-8"?>
<styleSheet xmlns="http://schemas.openxmlformats.org/spreadsheetml/2006/main">
  <numFmts count="5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
    <numFmt numFmtId="181" formatCode="0_)"/>
    <numFmt numFmtId="182" formatCode="000000"/>
    <numFmt numFmtId="183" formatCode="&quot;£&quot;#,##0;\-&quot;£&quot;#,##0"/>
    <numFmt numFmtId="184" formatCode="&quot;£&quot;#,##0;[Red]\-&quot;£&quot;#,##0"/>
    <numFmt numFmtId="185" formatCode="&quot;£&quot;#,##0.00;\-&quot;£&quot;#,##0.00"/>
    <numFmt numFmtId="186" formatCode="&quot;£&quot;#,##0.00;[Red]\-&quot;£&quot;#,##0.00"/>
    <numFmt numFmtId="187" formatCode="_-&quot;£&quot;* #,##0_-;\-&quot;£&quot;* #,##0_-;_-&quot;£&quot;* &quot;-&quot;_-;_-@_-"/>
    <numFmt numFmtId="188" formatCode="_-* #,##0_-;\-* #,##0_-;_-* &quot;-&quot;_-;_-@_-"/>
    <numFmt numFmtId="189" formatCode="_-&quot;£&quot;* #,##0.00_-;\-&quot;£&quot;* #,##0.00_-;_-&quot;£&quot;* &quot;-&quot;??_-;_-@_-"/>
    <numFmt numFmtId="190" formatCode="_-* #,##0.00_-;\-* #,##0.00_-;_-* &quot;-&quot;??_-;_-@_-"/>
    <numFmt numFmtId="191" formatCode="0.000"/>
    <numFmt numFmtId="192" formatCode="0.0000"/>
    <numFmt numFmtId="193" formatCode="_-* #,##0.000_р_._-;\-* #,##0.000_р_._-;_-* &quot;-&quot;??_р_._-;_-@_-"/>
    <numFmt numFmtId="194" formatCode="_-* #,##0.0000_р_._-;\-* #,##0.0000_р_._-;_-* &quot;-&quot;??_р_._-;_-@_-"/>
    <numFmt numFmtId="195" formatCode="_-* #,##0.00000_р_._-;\-* #,##0.00000_р_._-;_-* &quot;-&quot;??_р_._-;_-@_-"/>
    <numFmt numFmtId="196" formatCode="0.00000"/>
    <numFmt numFmtId="197" formatCode="00000\-0000"/>
    <numFmt numFmtId="198" formatCode="_-* #,##0.0_р_._-;\-* #,##0.0_р_._-;_-* &quot;-&quot;??_р_._-;_-@_-"/>
    <numFmt numFmtId="199" formatCode="_-* #,##0_р_._-;\-* #,##0_р_._-;_-* &quot;-&quot;??_р_._-;_-@_-"/>
    <numFmt numFmtId="200" formatCode="_-* #,##0.0_р_._-;\-* #,##0.0_р_._-;_-* &quot;-&quot;?_р_._-;_-@_-"/>
    <numFmt numFmtId="201" formatCode="#,##0.000_р_."/>
    <numFmt numFmtId="202" formatCode="&quot;Да&quot;;&quot;Да&quot;;&quot;Нет&quot;"/>
    <numFmt numFmtId="203" formatCode="&quot;Истина&quot;;&quot;Истина&quot;;&quot;Ложь&quot;"/>
    <numFmt numFmtId="204" formatCode="&quot;Вкл&quot;;&quot;Вкл&quot;;&quot;Выкл&quot;"/>
    <numFmt numFmtId="205" formatCode="[$€-2]\ ###,000_);[Red]\([$€-2]\ ###,000\)"/>
    <numFmt numFmtId="206" formatCode="#,##0.0"/>
  </numFmts>
  <fonts count="64">
    <font>
      <sz val="10"/>
      <name val="Arial Cyr"/>
      <family val="0"/>
    </font>
    <font>
      <b/>
      <sz val="10"/>
      <name val="Arial Cyr"/>
      <family val="2"/>
    </font>
    <font>
      <u val="single"/>
      <sz val="10"/>
      <color indexed="12"/>
      <name val="Arial Cyr"/>
      <family val="0"/>
    </font>
    <font>
      <u val="single"/>
      <sz val="10"/>
      <color indexed="36"/>
      <name val="Arial Cyr"/>
      <family val="0"/>
    </font>
    <font>
      <sz val="9"/>
      <name val="Arial Cyr"/>
      <family val="2"/>
    </font>
    <font>
      <sz val="12"/>
      <name val="Arial Cyr"/>
      <family val="2"/>
    </font>
    <font>
      <sz val="10"/>
      <color indexed="60"/>
      <name val="Arial Cyr"/>
      <family val="0"/>
    </font>
    <font>
      <sz val="10"/>
      <color indexed="10"/>
      <name val="Arial Cyr"/>
      <family val="0"/>
    </font>
    <font>
      <i/>
      <sz val="10"/>
      <name val="Arial Cyr"/>
      <family val="0"/>
    </font>
    <font>
      <sz val="25"/>
      <name val="Times New Roman"/>
      <family val="1"/>
    </font>
    <font>
      <i/>
      <sz val="9"/>
      <name val="Arial Cyr"/>
      <family val="0"/>
    </font>
    <font>
      <sz val="11"/>
      <color indexed="8"/>
      <name val="Calibri"/>
      <family val="2"/>
    </font>
    <font>
      <sz val="11"/>
      <color indexed="10"/>
      <name val="Calibri"/>
      <family val="2"/>
    </font>
    <font>
      <sz val="22"/>
      <color indexed="8"/>
      <name val="Times New Roman"/>
      <family val="1"/>
    </font>
    <font>
      <sz val="16"/>
      <color indexed="8"/>
      <name val="Calibri"/>
      <family val="2"/>
    </font>
    <font>
      <sz val="12"/>
      <color indexed="8"/>
      <name val="Arial"/>
      <family val="2"/>
    </font>
    <font>
      <b/>
      <sz val="18"/>
      <color indexed="8"/>
      <name val="Times New Roman"/>
      <family val="1"/>
    </font>
    <font>
      <sz val="8"/>
      <color indexed="8"/>
      <name val="Arial"/>
      <family val="2"/>
    </font>
    <font>
      <sz val="8"/>
      <name val="Arial Cyr"/>
      <family val="0"/>
    </font>
    <font>
      <sz val="9"/>
      <color indexed="17"/>
      <name val="Arial"/>
      <family val="2"/>
    </font>
    <font>
      <sz val="10"/>
      <color indexed="17"/>
      <name val="Times New Roman"/>
      <family val="1"/>
    </font>
    <font>
      <sz val="10"/>
      <color indexed="57"/>
      <name val="Times New Roman"/>
      <family val="1"/>
    </font>
    <font>
      <sz val="9"/>
      <name val="Arial"/>
      <family val="2"/>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sz val="10"/>
      <color indexed="56"/>
      <name val="Arial Cyr"/>
      <family val="0"/>
    </font>
    <font>
      <b/>
      <sz val="10"/>
      <color indexed="10"/>
      <name val="Arial Cyr"/>
      <family val="0"/>
    </font>
    <font>
      <sz val="10"/>
      <color indexed="8"/>
      <name val="Arial Cyr"/>
      <family val="0"/>
    </font>
    <font>
      <b/>
      <u val="single"/>
      <sz val="25"/>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Cyr"/>
      <family val="0"/>
    </font>
    <font>
      <sz val="10"/>
      <color rgb="FF002060"/>
      <name val="Arial Cyr"/>
      <family val="0"/>
    </font>
    <font>
      <b/>
      <sz val="10"/>
      <color rgb="FFFF0000"/>
      <name val="Arial Cyr"/>
      <family val="0"/>
    </font>
    <font>
      <sz val="10"/>
      <color theme="1"/>
      <name val="Arial Cyr"/>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9"/>
      </left>
      <right style="thin">
        <color indexed="9"/>
      </right>
      <top style="thin">
        <color indexed="9"/>
      </top>
      <bottom style="thin">
        <color indexed="9"/>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3"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9" fontId="11" fillId="0" borderId="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217">
    <xf numFmtId="0" fontId="0" fillId="0" borderId="0" xfId="0" applyAlignment="1">
      <alignment/>
    </xf>
    <xf numFmtId="0" fontId="1" fillId="0" borderId="0" xfId="0" applyFont="1" applyAlignment="1">
      <alignment/>
    </xf>
    <xf numFmtId="0" fontId="0" fillId="0" borderId="0" xfId="0" applyFont="1" applyFill="1" applyAlignment="1">
      <alignment/>
    </xf>
    <xf numFmtId="0" fontId="0" fillId="0" borderId="10" xfId="0" applyFont="1" applyFill="1" applyBorder="1" applyAlignment="1">
      <alignment horizontal="left" wrapText="1"/>
    </xf>
    <xf numFmtId="0" fontId="0" fillId="0" borderId="0" xfId="0" applyFont="1" applyAlignment="1">
      <alignment/>
    </xf>
    <xf numFmtId="49" fontId="0" fillId="0" borderId="10" xfId="0" applyNumberFormat="1" applyFont="1" applyBorder="1" applyAlignment="1">
      <alignment horizontal="center"/>
    </xf>
    <xf numFmtId="49" fontId="0" fillId="0" borderId="10" xfId="0" applyNumberFormat="1" applyFont="1" applyFill="1" applyBorder="1" applyAlignment="1">
      <alignment horizontal="center"/>
    </xf>
    <xf numFmtId="191" fontId="0" fillId="0" borderId="0" xfId="0" applyNumberFormat="1" applyFont="1" applyAlignment="1">
      <alignment/>
    </xf>
    <xf numFmtId="191" fontId="0" fillId="0" borderId="0" xfId="0" applyNumberFormat="1" applyFont="1" applyFill="1" applyAlignment="1">
      <alignment/>
    </xf>
    <xf numFmtId="0" fontId="0" fillId="0" borderId="10" xfId="0" applyFont="1" applyFill="1" applyBorder="1" applyAlignment="1">
      <alignment wrapText="1"/>
    </xf>
    <xf numFmtId="49" fontId="0" fillId="33" borderId="10" xfId="0" applyNumberFormat="1" applyFont="1" applyFill="1" applyBorder="1" applyAlignment="1">
      <alignment horizontal="center"/>
    </xf>
    <xf numFmtId="0" fontId="0" fillId="33" borderId="0" xfId="0" applyFont="1" applyFill="1" applyAlignment="1">
      <alignment/>
    </xf>
    <xf numFmtId="0" fontId="0" fillId="33" borderId="10" xfId="0" applyFont="1" applyFill="1" applyBorder="1" applyAlignment="1">
      <alignment horizontal="left" wrapText="1"/>
    </xf>
    <xf numFmtId="191" fontId="0" fillId="33" borderId="0" xfId="0" applyNumberFormat="1" applyFont="1" applyFill="1" applyAlignment="1">
      <alignment/>
    </xf>
    <xf numFmtId="0" fontId="0" fillId="0" borderId="10" xfId="0" applyFont="1" applyBorder="1" applyAlignment="1">
      <alignment wrapText="1"/>
    </xf>
    <xf numFmtId="49" fontId="0" fillId="0" borderId="10" xfId="0" applyNumberFormat="1" applyFont="1" applyBorder="1" applyAlignment="1">
      <alignment horizontal="center"/>
    </xf>
    <xf numFmtId="0" fontId="4" fillId="0" borderId="10" xfId="0" applyFont="1" applyFill="1" applyBorder="1" applyAlignment="1">
      <alignment wrapText="1"/>
    </xf>
    <xf numFmtId="0" fontId="4" fillId="0" borderId="10" xfId="0" applyFont="1" applyFill="1" applyBorder="1" applyAlignment="1">
      <alignment horizontal="left" wrapText="1"/>
    </xf>
    <xf numFmtId="49" fontId="0" fillId="0" borderId="10" xfId="0" applyNumberFormat="1" applyFont="1" applyFill="1" applyBorder="1" applyAlignment="1">
      <alignment horizontal="center"/>
    </xf>
    <xf numFmtId="0" fontId="0" fillId="0" borderId="0" xfId="0" applyFont="1" applyAlignment="1">
      <alignment/>
    </xf>
    <xf numFmtId="0" fontId="0" fillId="33" borderId="0" xfId="0" applyFont="1" applyFill="1" applyAlignment="1">
      <alignment/>
    </xf>
    <xf numFmtId="0" fontId="0" fillId="0" borderId="0" xfId="0" applyFont="1" applyFill="1" applyAlignment="1">
      <alignment/>
    </xf>
    <xf numFmtId="0" fontId="0" fillId="0" borderId="10" xfId="0" applyFont="1" applyBorder="1" applyAlignment="1">
      <alignment horizontal="left" wrapText="1"/>
    </xf>
    <xf numFmtId="49" fontId="0" fillId="0" borderId="0" xfId="0" applyNumberFormat="1" applyFont="1" applyAlignment="1">
      <alignment/>
    </xf>
    <xf numFmtId="49" fontId="0" fillId="0" borderId="10" xfId="0" applyNumberFormat="1" applyFont="1" applyFill="1" applyBorder="1" applyAlignment="1" quotePrefix="1">
      <alignment horizontal="center"/>
    </xf>
    <xf numFmtId="0" fontId="0" fillId="0" borderId="10" xfId="0" applyBorder="1" applyAlignment="1">
      <alignment wrapText="1"/>
    </xf>
    <xf numFmtId="0" fontId="0" fillId="0" borderId="10" xfId="0" applyFill="1" applyBorder="1" applyAlignment="1">
      <alignment horizontal="left" wrapText="1"/>
    </xf>
    <xf numFmtId="49" fontId="0" fillId="0" borderId="10" xfId="0" applyNumberFormat="1" applyBorder="1" applyAlignment="1">
      <alignment horizontal="center"/>
    </xf>
    <xf numFmtId="0" fontId="0" fillId="0" borderId="10" xfId="0" applyBorder="1" applyAlignment="1">
      <alignment horizontal="left" wrapText="1"/>
    </xf>
    <xf numFmtId="49" fontId="0" fillId="0" borderId="10" xfId="0" applyNumberFormat="1" applyFill="1" applyBorder="1" applyAlignment="1">
      <alignment horizontal="center"/>
    </xf>
    <xf numFmtId="0" fontId="0" fillId="33" borderId="10" xfId="0" applyFill="1" applyBorder="1" applyAlignment="1">
      <alignment wrapText="1"/>
    </xf>
    <xf numFmtId="49" fontId="0" fillId="33" borderId="10" xfId="0" applyNumberFormat="1" applyFill="1" applyBorder="1" applyAlignment="1">
      <alignment horizontal="center"/>
    </xf>
    <xf numFmtId="0" fontId="0" fillId="33" borderId="10" xfId="0" applyFill="1" applyBorder="1" applyAlignment="1">
      <alignment horizontal="left" wrapText="1"/>
    </xf>
    <xf numFmtId="0" fontId="0" fillId="33" borderId="10" xfId="0" applyFont="1" applyFill="1" applyBorder="1" applyAlignment="1">
      <alignment wrapText="1"/>
    </xf>
    <xf numFmtId="0" fontId="0" fillId="33" borderId="10" xfId="0" applyFont="1" applyFill="1" applyBorder="1" applyAlignment="1">
      <alignment horizontal="left" wrapText="1"/>
    </xf>
    <xf numFmtId="0" fontId="5" fillId="33" borderId="10" xfId="0" applyFont="1" applyFill="1" applyBorder="1" applyAlignment="1">
      <alignment horizontal="left" wrapText="1"/>
    </xf>
    <xf numFmtId="0" fontId="6" fillId="0" borderId="0" xfId="0" applyFont="1" applyAlignment="1">
      <alignment/>
    </xf>
    <xf numFmtId="0" fontId="0" fillId="0" borderId="10" xfId="0" applyFill="1" applyBorder="1" applyAlignment="1">
      <alignment horizontal="justify" wrapText="1"/>
    </xf>
    <xf numFmtId="0" fontId="6" fillId="0" borderId="0" xfId="0" applyFont="1" applyFill="1" applyAlignment="1">
      <alignment/>
    </xf>
    <xf numFmtId="49" fontId="0" fillId="33" borderId="10" xfId="0" applyNumberFormat="1" applyFont="1" applyFill="1" applyBorder="1" applyAlignment="1">
      <alignment horizontal="center"/>
    </xf>
    <xf numFmtId="49" fontId="0" fillId="0" borderId="10" xfId="0" applyNumberFormat="1" applyFont="1" applyFill="1" applyBorder="1" applyAlignment="1">
      <alignment horizontal="center"/>
    </xf>
    <xf numFmtId="0" fontId="0" fillId="0" borderId="10" xfId="0" applyFont="1" applyFill="1" applyBorder="1" applyAlignment="1">
      <alignment horizontal="left" wrapText="1"/>
    </xf>
    <xf numFmtId="49" fontId="0" fillId="0" borderId="10" xfId="0" applyNumberFormat="1" applyFont="1" applyBorder="1" applyAlignment="1">
      <alignment horizontal="center"/>
    </xf>
    <xf numFmtId="0" fontId="0" fillId="0" borderId="10" xfId="0" applyFont="1" applyBorder="1" applyAlignment="1">
      <alignment wrapText="1"/>
    </xf>
    <xf numFmtId="0" fontId="0" fillId="0" borderId="10" xfId="0" applyFill="1" applyBorder="1" applyAlignment="1">
      <alignment wrapText="1"/>
    </xf>
    <xf numFmtId="49" fontId="7" fillId="0" borderId="10" xfId="0" applyNumberFormat="1" applyFont="1" applyBorder="1" applyAlignment="1">
      <alignment horizontal="center"/>
    </xf>
    <xf numFmtId="0" fontId="0" fillId="0" borderId="10" xfId="0" applyFont="1" applyBorder="1" applyAlignment="1">
      <alignment horizontal="left" wrapText="1"/>
    </xf>
    <xf numFmtId="0" fontId="7" fillId="0" borderId="10" xfId="0" applyFont="1" applyBorder="1" applyAlignment="1">
      <alignment wrapText="1"/>
    </xf>
    <xf numFmtId="49" fontId="7" fillId="0" borderId="10" xfId="0" applyNumberFormat="1" applyFont="1" applyFill="1" applyBorder="1" applyAlignment="1">
      <alignment horizontal="center"/>
    </xf>
    <xf numFmtId="49" fontId="7" fillId="0" borderId="10" xfId="0" applyNumberFormat="1" applyFont="1" applyBorder="1" applyAlignment="1">
      <alignment horizontal="center"/>
    </xf>
    <xf numFmtId="0" fontId="7" fillId="0" borderId="10" xfId="0" applyFont="1" applyFill="1" applyBorder="1" applyAlignment="1">
      <alignment horizontal="left" wrapText="1"/>
    </xf>
    <xf numFmtId="49" fontId="7" fillId="0" borderId="10" xfId="0" applyNumberFormat="1" applyFont="1" applyFill="1" applyBorder="1" applyAlignment="1">
      <alignment horizontal="center"/>
    </xf>
    <xf numFmtId="0" fontId="7" fillId="0" borderId="10" xfId="0" applyFont="1" applyBorder="1" applyAlignment="1">
      <alignment horizontal="left" wrapText="1"/>
    </xf>
    <xf numFmtId="0" fontId="7" fillId="0" borderId="10" xfId="0" applyFont="1" applyFill="1" applyBorder="1" applyAlignment="1">
      <alignment horizontal="left" wrapText="1"/>
    </xf>
    <xf numFmtId="0" fontId="7" fillId="0" borderId="10" xfId="0" applyFont="1" applyBorder="1" applyAlignment="1">
      <alignment wrapText="1"/>
    </xf>
    <xf numFmtId="0" fontId="7" fillId="0" borderId="10" xfId="0" applyFont="1" applyFill="1" applyBorder="1" applyAlignment="1">
      <alignment wrapText="1"/>
    </xf>
    <xf numFmtId="49" fontId="60" fillId="0" borderId="10" xfId="0" applyNumberFormat="1" applyFont="1" applyFill="1" applyBorder="1" applyAlignment="1">
      <alignment horizontal="center"/>
    </xf>
    <xf numFmtId="49" fontId="60" fillId="0" borderId="10" xfId="0" applyNumberFormat="1" applyFont="1" applyBorder="1" applyAlignment="1">
      <alignment horizontal="center"/>
    </xf>
    <xf numFmtId="0" fontId="60" fillId="0" borderId="10" xfId="0" applyFont="1" applyBorder="1" applyAlignment="1">
      <alignment wrapText="1"/>
    </xf>
    <xf numFmtId="0" fontId="60" fillId="0" borderId="10" xfId="0" applyFont="1" applyFill="1" applyBorder="1" applyAlignment="1">
      <alignment horizontal="left" wrapText="1"/>
    </xf>
    <xf numFmtId="0" fontId="9" fillId="0" borderId="11" xfId="0" applyFont="1" applyBorder="1" applyAlignment="1">
      <alignment horizontal="left"/>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Border="1" applyAlignment="1">
      <alignment wrapText="1"/>
    </xf>
    <xf numFmtId="49" fontId="61" fillId="0" borderId="10" xfId="0" applyNumberFormat="1" applyFont="1" applyFill="1" applyBorder="1" applyAlignment="1">
      <alignment horizontal="center"/>
    </xf>
    <xf numFmtId="49" fontId="61" fillId="0" borderId="10" xfId="0" applyNumberFormat="1" applyFont="1" applyBorder="1" applyAlignment="1">
      <alignment horizontal="center"/>
    </xf>
    <xf numFmtId="0" fontId="61" fillId="0" borderId="10" xfId="0" applyFont="1" applyBorder="1" applyAlignment="1">
      <alignment horizontal="left" wrapText="1"/>
    </xf>
    <xf numFmtId="0" fontId="61" fillId="0" borderId="10" xfId="0" applyFont="1" applyFill="1" applyBorder="1" applyAlignment="1">
      <alignment wrapText="1"/>
    </xf>
    <xf numFmtId="0" fontId="61" fillId="0" borderId="10" xfId="0" applyFont="1" applyFill="1" applyBorder="1" applyAlignment="1">
      <alignment wrapText="1"/>
    </xf>
    <xf numFmtId="0" fontId="61" fillId="0" borderId="10" xfId="0" applyFont="1" applyFill="1" applyBorder="1" applyAlignment="1">
      <alignment horizontal="left" wrapText="1"/>
    </xf>
    <xf numFmtId="0" fontId="61" fillId="0" borderId="10" xfId="0" applyFont="1" applyBorder="1" applyAlignment="1">
      <alignment wrapText="1"/>
    </xf>
    <xf numFmtId="0" fontId="61" fillId="0" borderId="10" xfId="0" applyFont="1" applyFill="1" applyBorder="1" applyAlignment="1">
      <alignment horizontal="left" wrapText="1"/>
    </xf>
    <xf numFmtId="0" fontId="61" fillId="0" borderId="10" xfId="0" applyFont="1" applyFill="1" applyBorder="1" applyAlignment="1">
      <alignment horizontal="justify" wrapText="1"/>
    </xf>
    <xf numFmtId="0" fontId="60" fillId="0" borderId="10" xfId="0" applyFont="1" applyBorder="1" applyAlignment="1">
      <alignment horizontal="left" wrapText="1"/>
    </xf>
    <xf numFmtId="0" fontId="10" fillId="0" borderId="10" xfId="0" applyFont="1" applyBorder="1" applyAlignment="1">
      <alignment wrapText="1"/>
    </xf>
    <xf numFmtId="0" fontId="62" fillId="0" borderId="10" xfId="0" applyFont="1" applyBorder="1" applyAlignment="1">
      <alignment wrapText="1"/>
    </xf>
    <xf numFmtId="49" fontId="8" fillId="0" borderId="10" xfId="0" applyNumberFormat="1" applyFont="1" applyBorder="1" applyAlignment="1">
      <alignment horizontal="center"/>
    </xf>
    <xf numFmtId="0" fontId="8" fillId="33" borderId="0" xfId="0" applyFont="1" applyFill="1" applyAlignment="1">
      <alignment/>
    </xf>
    <xf numFmtId="1" fontId="0" fillId="0" borderId="10" xfId="0" applyNumberFormat="1" applyBorder="1" applyAlignment="1">
      <alignment horizontal="left" wrapText="1"/>
    </xf>
    <xf numFmtId="0" fontId="0" fillId="0" borderId="10" xfId="0" applyFont="1" applyBorder="1" applyAlignment="1">
      <alignment horizontal="left" wrapText="1"/>
    </xf>
    <xf numFmtId="0" fontId="60" fillId="0" borderId="10" xfId="0" applyFont="1" applyFill="1" applyBorder="1" applyAlignment="1">
      <alignment wrapText="1"/>
    </xf>
    <xf numFmtId="49" fontId="0" fillId="33" borderId="10" xfId="0" applyNumberFormat="1" applyFont="1" applyFill="1" applyBorder="1" applyAlignment="1">
      <alignment horizontal="center" wrapText="1"/>
    </xf>
    <xf numFmtId="49" fontId="0" fillId="0" borderId="10" xfId="0" applyNumberFormat="1" applyFont="1" applyFill="1" applyBorder="1" applyAlignment="1">
      <alignment horizontal="center" wrapText="1"/>
    </xf>
    <xf numFmtId="49" fontId="61" fillId="0" borderId="10" xfId="0" applyNumberFormat="1" applyFont="1" applyFill="1" applyBorder="1" applyAlignment="1">
      <alignment horizontal="center" wrapText="1"/>
    </xf>
    <xf numFmtId="49" fontId="0" fillId="0" borderId="10" xfId="0" applyNumberFormat="1" applyFont="1" applyBorder="1" applyAlignment="1" quotePrefix="1">
      <alignment horizontal="center"/>
    </xf>
    <xf numFmtId="0" fontId="0" fillId="34" borderId="0" xfId="0" applyFill="1" applyAlignment="1">
      <alignment horizontal="left" wrapText="1"/>
    </xf>
    <xf numFmtId="0" fontId="0" fillId="34" borderId="0" xfId="0" applyFill="1" applyAlignment="1">
      <alignment horizontal="right" wrapText="1"/>
    </xf>
    <xf numFmtId="0" fontId="13" fillId="34" borderId="0" xfId="0" applyFont="1" applyFill="1" applyAlignment="1">
      <alignment horizontal="right"/>
    </xf>
    <xf numFmtId="0" fontId="0" fillId="0" borderId="0" xfId="0" applyFill="1" applyAlignment="1">
      <alignment horizontal="right" wrapText="1"/>
    </xf>
    <xf numFmtId="0" fontId="14" fillId="34" borderId="0" xfId="0" applyFont="1" applyFill="1" applyAlignment="1">
      <alignment horizontal="right" wrapText="1"/>
    </xf>
    <xf numFmtId="0" fontId="0" fillId="34" borderId="0" xfId="0" applyFill="1" applyBorder="1" applyAlignment="1">
      <alignment horizontal="left" wrapText="1"/>
    </xf>
    <xf numFmtId="0" fontId="0" fillId="34" borderId="0" xfId="0" applyFill="1" applyBorder="1" applyAlignment="1">
      <alignment horizontal="right" wrapText="1"/>
    </xf>
    <xf numFmtId="0" fontId="0" fillId="0" borderId="0" xfId="0" applyFill="1" applyBorder="1" applyAlignment="1">
      <alignment horizontal="right" wrapText="1"/>
    </xf>
    <xf numFmtId="0" fontId="15" fillId="34" borderId="12" xfId="0" applyFont="1" applyFill="1" applyBorder="1" applyAlignment="1">
      <alignment horizontal="left" wrapText="1"/>
    </xf>
    <xf numFmtId="3" fontId="15" fillId="0" borderId="12" xfId="0" applyNumberFormat="1" applyFont="1" applyFill="1" applyBorder="1" applyAlignment="1">
      <alignment horizontal="right" wrapText="1"/>
    </xf>
    <xf numFmtId="3" fontId="15" fillId="34" borderId="12" xfId="0" applyNumberFormat="1" applyFont="1" applyFill="1" applyBorder="1" applyAlignment="1">
      <alignment horizontal="right" wrapText="1"/>
    </xf>
    <xf numFmtId="0" fontId="15" fillId="34" borderId="12" xfId="0" applyFont="1" applyFill="1" applyBorder="1" applyAlignment="1">
      <alignment horizontal="right" wrapText="1"/>
    </xf>
    <xf numFmtId="0" fontId="0" fillId="0" borderId="10" xfId="0" applyFont="1" applyBorder="1" applyAlignment="1">
      <alignment/>
    </xf>
    <xf numFmtId="0" fontId="0" fillId="33" borderId="10" xfId="0" applyFont="1" applyFill="1" applyBorder="1" applyAlignment="1">
      <alignment/>
    </xf>
    <xf numFmtId="0" fontId="0" fillId="0" borderId="10" xfId="0" applyFont="1" applyFill="1" applyBorder="1" applyAlignment="1">
      <alignment/>
    </xf>
    <xf numFmtId="0" fontId="6" fillId="0" borderId="10" xfId="0" applyFont="1" applyBorder="1" applyAlignment="1">
      <alignment/>
    </xf>
    <xf numFmtId="0" fontId="0" fillId="0" borderId="10" xfId="0" applyFont="1" applyFill="1" applyBorder="1" applyAlignment="1">
      <alignment/>
    </xf>
    <xf numFmtId="0" fontId="8" fillId="0" borderId="10" xfId="0" applyFont="1" applyFill="1" applyBorder="1" applyAlignment="1">
      <alignment/>
    </xf>
    <xf numFmtId="0" fontId="6" fillId="0" borderId="10" xfId="0" applyFont="1" applyFill="1" applyBorder="1" applyAlignment="1">
      <alignment/>
    </xf>
    <xf numFmtId="0" fontId="0" fillId="33" borderId="10" xfId="0" applyFont="1" applyFill="1" applyBorder="1" applyAlignment="1">
      <alignment/>
    </xf>
    <xf numFmtId="191" fontId="0" fillId="33" borderId="10" xfId="0" applyNumberFormat="1" applyFont="1" applyFill="1" applyBorder="1" applyAlignment="1">
      <alignment/>
    </xf>
    <xf numFmtId="191" fontId="0" fillId="0" borderId="10" xfId="0" applyNumberFormat="1" applyFont="1" applyFill="1" applyBorder="1" applyAlignment="1">
      <alignment/>
    </xf>
    <xf numFmtId="191" fontId="0" fillId="0" borderId="10" xfId="0" applyNumberFormat="1" applyFont="1" applyBorder="1" applyAlignment="1">
      <alignment/>
    </xf>
    <xf numFmtId="0" fontId="1" fillId="0" borderId="10" xfId="0" applyFont="1" applyBorder="1" applyAlignment="1">
      <alignment/>
    </xf>
    <xf numFmtId="0" fontId="0" fillId="0" borderId="10" xfId="0" applyFont="1" applyBorder="1" applyAlignment="1">
      <alignment/>
    </xf>
    <xf numFmtId="0" fontId="0" fillId="34" borderId="0" xfId="0" applyFill="1" applyAlignment="1">
      <alignment wrapText="1"/>
    </xf>
    <xf numFmtId="49" fontId="15" fillId="34" borderId="12" xfId="0" applyNumberFormat="1" applyFont="1" applyFill="1" applyBorder="1" applyAlignment="1">
      <alignment horizontal="right" wrapText="1"/>
    </xf>
    <xf numFmtId="0" fontId="12" fillId="34" borderId="0" xfId="0" applyFont="1" applyFill="1" applyAlignment="1">
      <alignment wrapText="1"/>
    </xf>
    <xf numFmtId="0" fontId="11" fillId="34" borderId="0" xfId="0" applyFont="1" applyFill="1" applyAlignment="1">
      <alignment wrapText="1"/>
    </xf>
    <xf numFmtId="0" fontId="12" fillId="0" borderId="0" xfId="0" applyFont="1" applyFill="1" applyAlignment="1">
      <alignment wrapText="1"/>
    </xf>
    <xf numFmtId="0" fontId="11" fillId="0" borderId="0" xfId="0" applyFont="1" applyFill="1" applyAlignment="1">
      <alignment wrapText="1"/>
    </xf>
    <xf numFmtId="49"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3" fontId="0" fillId="0" borderId="10" xfId="0" applyNumberFormat="1" applyFont="1" applyFill="1" applyBorder="1" applyAlignment="1">
      <alignment/>
    </xf>
    <xf numFmtId="3" fontId="0" fillId="0" borderId="10" xfId="0" applyNumberFormat="1" applyFont="1" applyBorder="1" applyAlignment="1">
      <alignment/>
    </xf>
    <xf numFmtId="3" fontId="5" fillId="33" borderId="10" xfId="0" applyNumberFormat="1" applyFont="1" applyFill="1" applyBorder="1" applyAlignment="1">
      <alignment horizontal="left" wrapText="1"/>
    </xf>
    <xf numFmtId="1" fontId="0" fillId="33" borderId="0" xfId="0" applyNumberFormat="1" applyFont="1" applyFill="1" applyAlignment="1">
      <alignment/>
    </xf>
    <xf numFmtId="3" fontId="0" fillId="0" borderId="0" xfId="0" applyNumberFormat="1" applyFont="1" applyAlignment="1">
      <alignment/>
    </xf>
    <xf numFmtId="3" fontId="0" fillId="33" borderId="0" xfId="0" applyNumberFormat="1" applyFont="1" applyFill="1" applyAlignment="1">
      <alignment/>
    </xf>
    <xf numFmtId="1" fontId="0" fillId="0" borderId="0" xfId="0" applyNumberFormat="1" applyFont="1" applyAlignment="1">
      <alignment/>
    </xf>
    <xf numFmtId="0" fontId="0" fillId="0" borderId="10" xfId="0" applyBorder="1" applyAlignment="1">
      <alignment/>
    </xf>
    <xf numFmtId="0" fontId="9" fillId="0" borderId="0" xfId="0" applyFont="1" applyAlignment="1">
      <alignment/>
    </xf>
    <xf numFmtId="0" fontId="0" fillId="0" borderId="10" xfId="0" applyFont="1" applyFill="1" applyBorder="1" applyAlignment="1">
      <alignment wrapText="1"/>
    </xf>
    <xf numFmtId="3" fontId="0" fillId="0" borderId="0" xfId="0" applyNumberFormat="1" applyFont="1" applyFill="1" applyAlignment="1">
      <alignment/>
    </xf>
    <xf numFmtId="3" fontId="0" fillId="0" borderId="10" xfId="0" applyNumberFormat="1" applyFont="1" applyFill="1" applyBorder="1" applyAlignment="1">
      <alignment/>
    </xf>
    <xf numFmtId="3" fontId="0" fillId="35" borderId="10" xfId="0" applyNumberFormat="1" applyFont="1" applyFill="1" applyBorder="1" applyAlignment="1">
      <alignment/>
    </xf>
    <xf numFmtId="4" fontId="0" fillId="0" borderId="0" xfId="0" applyNumberFormat="1" applyFont="1" applyAlignment="1">
      <alignment/>
    </xf>
    <xf numFmtId="4" fontId="0" fillId="33" borderId="0" xfId="0" applyNumberFormat="1" applyFill="1" applyAlignment="1">
      <alignment/>
    </xf>
    <xf numFmtId="4" fontId="0" fillId="33" borderId="0" xfId="0" applyNumberFormat="1" applyFont="1" applyFill="1" applyAlignment="1">
      <alignment/>
    </xf>
    <xf numFmtId="0" fontId="0" fillId="35" borderId="10" xfId="0" applyFill="1" applyBorder="1" applyAlignment="1">
      <alignment wrapText="1"/>
    </xf>
    <xf numFmtId="3" fontId="0" fillId="36" borderId="0" xfId="0" applyNumberFormat="1" applyFont="1" applyFill="1" applyAlignment="1">
      <alignment/>
    </xf>
    <xf numFmtId="1" fontId="0" fillId="36" borderId="0" xfId="0" applyNumberFormat="1" applyFont="1" applyFill="1" applyAlignment="1">
      <alignment/>
    </xf>
    <xf numFmtId="0" fontId="0" fillId="36" borderId="0" xfId="0" applyFont="1" applyFill="1" applyAlignment="1">
      <alignment/>
    </xf>
    <xf numFmtId="0" fontId="0" fillId="35" borderId="10" xfId="0" applyFont="1" applyFill="1" applyBorder="1" applyAlignment="1">
      <alignment wrapText="1"/>
    </xf>
    <xf numFmtId="0" fontId="8" fillId="0" borderId="10" xfId="0" applyFont="1" applyBorder="1" applyAlignment="1">
      <alignment wrapText="1"/>
    </xf>
    <xf numFmtId="3" fontId="8" fillId="0" borderId="10" xfId="0" applyNumberFormat="1" applyFont="1" applyFill="1" applyBorder="1" applyAlignment="1">
      <alignment/>
    </xf>
    <xf numFmtId="0" fontId="8" fillId="0" borderId="10" xfId="0" applyFont="1" applyBorder="1" applyAlignment="1">
      <alignment/>
    </xf>
    <xf numFmtId="0" fontId="8" fillId="0" borderId="10" xfId="0" applyFont="1" applyFill="1" applyBorder="1" applyAlignment="1">
      <alignment horizontal="left" wrapText="1"/>
    </xf>
    <xf numFmtId="0" fontId="8" fillId="0" borderId="10" xfId="0" applyFont="1" applyBorder="1" applyAlignment="1">
      <alignment horizontal="left" wrapText="1"/>
    </xf>
    <xf numFmtId="49" fontId="8" fillId="0" borderId="10" xfId="0" applyNumberFormat="1" applyFont="1" applyFill="1" applyBorder="1" applyAlignment="1">
      <alignment horizontal="center"/>
    </xf>
    <xf numFmtId="3" fontId="0" fillId="33" borderId="10" xfId="0" applyNumberFormat="1" applyFont="1" applyFill="1" applyBorder="1" applyAlignment="1">
      <alignment/>
    </xf>
    <xf numFmtId="3" fontId="0" fillId="0" borderId="10" xfId="57" applyNumberFormat="1" applyFont="1" applyBorder="1" applyAlignment="1">
      <alignment/>
    </xf>
    <xf numFmtId="3" fontId="15" fillId="34" borderId="13" xfId="0" applyNumberFormat="1" applyFont="1" applyFill="1" applyBorder="1" applyAlignment="1">
      <alignment horizontal="right" wrapText="1"/>
    </xf>
    <xf numFmtId="3" fontId="6" fillId="0" borderId="10" xfId="0" applyNumberFormat="1" applyFont="1" applyBorder="1" applyAlignment="1">
      <alignment/>
    </xf>
    <xf numFmtId="3" fontId="0" fillId="33" borderId="10" xfId="0" applyNumberFormat="1" applyFill="1" applyBorder="1" applyAlignment="1">
      <alignment wrapText="1"/>
    </xf>
    <xf numFmtId="3" fontId="8" fillId="0" borderId="10" xfId="0" applyNumberFormat="1" applyFont="1" applyBorder="1" applyAlignment="1">
      <alignment/>
    </xf>
    <xf numFmtId="3" fontId="0" fillId="33" borderId="10" xfId="0" applyNumberFormat="1" applyFont="1" applyFill="1" applyBorder="1" applyAlignment="1">
      <alignment horizontal="left" wrapText="1"/>
    </xf>
    <xf numFmtId="3" fontId="0" fillId="33" borderId="10" xfId="0" applyNumberFormat="1" applyFont="1" applyFill="1" applyBorder="1" applyAlignment="1">
      <alignment wrapText="1"/>
    </xf>
    <xf numFmtId="3" fontId="0" fillId="33" borderId="10" xfId="0" applyNumberFormat="1" applyFont="1" applyFill="1" applyBorder="1" applyAlignment="1">
      <alignment horizontal="left" wrapText="1"/>
    </xf>
    <xf numFmtId="3" fontId="63" fillId="0" borderId="10" xfId="0" applyNumberFormat="1" applyFont="1" applyBorder="1" applyAlignment="1">
      <alignment/>
    </xf>
    <xf numFmtId="3" fontId="0" fillId="33" borderId="10" xfId="0" applyNumberFormat="1" applyFill="1" applyBorder="1" applyAlignment="1">
      <alignment horizontal="left" wrapText="1"/>
    </xf>
    <xf numFmtId="3" fontId="6" fillId="0" borderId="10" xfId="0" applyNumberFormat="1" applyFont="1" applyFill="1" applyBorder="1" applyAlignment="1">
      <alignment/>
    </xf>
    <xf numFmtId="3" fontId="0" fillId="33" borderId="10" xfId="0" applyNumberFormat="1" applyFont="1" applyFill="1" applyBorder="1" applyAlignment="1">
      <alignment/>
    </xf>
    <xf numFmtId="3" fontId="63" fillId="0" borderId="10" xfId="0" applyNumberFormat="1" applyFont="1" applyFill="1" applyBorder="1" applyAlignment="1">
      <alignment/>
    </xf>
    <xf numFmtId="3" fontId="0" fillId="0" borderId="10" xfId="0" applyNumberFormat="1" applyFont="1" applyBorder="1" applyAlignment="1">
      <alignment/>
    </xf>
    <xf numFmtId="3" fontId="1" fillId="0" borderId="10" xfId="0" applyNumberFormat="1" applyFont="1" applyBorder="1" applyAlignment="1">
      <alignment/>
    </xf>
    <xf numFmtId="3" fontId="5" fillId="33" borderId="10" xfId="0" applyNumberFormat="1" applyFont="1" applyFill="1" applyBorder="1" applyAlignment="1">
      <alignment horizontal="right" wrapText="1"/>
    </xf>
    <xf numFmtId="4" fontId="8" fillId="0" borderId="10" xfId="0" applyNumberFormat="1" applyFont="1" applyFill="1" applyBorder="1" applyAlignment="1">
      <alignment/>
    </xf>
    <xf numFmtId="4" fontId="0" fillId="0" borderId="10" xfId="0" applyNumberFormat="1" applyFont="1" applyFill="1" applyBorder="1" applyAlignment="1">
      <alignment/>
    </xf>
    <xf numFmtId="4" fontId="0" fillId="0" borderId="10" xfId="0" applyNumberFormat="1" applyFont="1" applyBorder="1" applyAlignment="1">
      <alignment/>
    </xf>
    <xf numFmtId="4" fontId="0" fillId="33" borderId="10" xfId="0" applyNumberFormat="1" applyFill="1" applyBorder="1" applyAlignment="1">
      <alignment wrapText="1"/>
    </xf>
    <xf numFmtId="4" fontId="15" fillId="0" borderId="12" xfId="0" applyNumberFormat="1" applyFont="1" applyFill="1" applyBorder="1" applyAlignment="1">
      <alignment horizontal="right" wrapText="1"/>
    </xf>
    <xf numFmtId="4" fontId="8" fillId="0" borderId="10" xfId="0" applyNumberFormat="1" applyFont="1" applyBorder="1" applyAlignment="1">
      <alignment/>
    </xf>
    <xf numFmtId="4" fontId="0" fillId="0" borderId="10" xfId="0" applyNumberFormat="1" applyFont="1" applyFill="1" applyBorder="1" applyAlignment="1">
      <alignment/>
    </xf>
    <xf numFmtId="4" fontId="0" fillId="33" borderId="10" xfId="0" applyNumberFormat="1" applyFont="1" applyFill="1" applyBorder="1" applyAlignment="1">
      <alignment horizontal="left" wrapText="1"/>
    </xf>
    <xf numFmtId="4" fontId="0" fillId="33" borderId="10" xfId="0" applyNumberFormat="1" applyFont="1" applyFill="1" applyBorder="1" applyAlignment="1">
      <alignment/>
    </xf>
    <xf numFmtId="4" fontId="0" fillId="33" borderId="10" xfId="0" applyNumberFormat="1" applyFont="1" applyFill="1" applyBorder="1" applyAlignment="1">
      <alignment wrapText="1"/>
    </xf>
    <xf numFmtId="4" fontId="0" fillId="33" borderId="10" xfId="0" applyNumberFormat="1" applyFont="1" applyFill="1" applyBorder="1" applyAlignment="1">
      <alignment horizontal="left" wrapText="1"/>
    </xf>
    <xf numFmtId="4" fontId="0" fillId="33" borderId="10" xfId="0" applyNumberFormat="1" applyFill="1" applyBorder="1" applyAlignment="1">
      <alignment horizontal="left" wrapText="1"/>
    </xf>
    <xf numFmtId="4" fontId="6" fillId="0" borderId="10" xfId="0" applyNumberFormat="1" applyFont="1" applyBorder="1" applyAlignment="1">
      <alignment/>
    </xf>
    <xf numFmtId="4" fontId="6" fillId="0" borderId="10" xfId="0" applyNumberFormat="1" applyFont="1" applyFill="1" applyBorder="1" applyAlignment="1">
      <alignment/>
    </xf>
    <xf numFmtId="4" fontId="0" fillId="33" borderId="10" xfId="0" applyNumberFormat="1" applyFont="1" applyFill="1" applyBorder="1" applyAlignment="1">
      <alignment/>
    </xf>
    <xf numFmtId="4" fontId="0" fillId="0" borderId="10" xfId="0" applyNumberFormat="1" applyFont="1" applyBorder="1" applyAlignment="1">
      <alignment/>
    </xf>
    <xf numFmtId="4" fontId="1" fillId="0" borderId="10" xfId="0" applyNumberFormat="1" applyFont="1" applyBorder="1" applyAlignment="1">
      <alignment/>
    </xf>
    <xf numFmtId="0" fontId="0" fillId="0" borderId="0" xfId="0" applyBorder="1" applyAlignment="1">
      <alignment wrapText="1"/>
    </xf>
    <xf numFmtId="49" fontId="0" fillId="3" borderId="10" xfId="0" applyNumberFormat="1" applyFont="1" applyFill="1" applyBorder="1" applyAlignment="1">
      <alignment horizontal="center"/>
    </xf>
    <xf numFmtId="0" fontId="0" fillId="3" borderId="10" xfId="0" applyFont="1" applyFill="1" applyBorder="1" applyAlignment="1">
      <alignment wrapText="1"/>
    </xf>
    <xf numFmtId="0" fontId="0" fillId="3" borderId="10" xfId="0" applyFont="1" applyFill="1" applyBorder="1" applyAlignment="1">
      <alignment/>
    </xf>
    <xf numFmtId="3" fontId="0" fillId="3" borderId="10" xfId="0" applyNumberFormat="1" applyFont="1" applyFill="1" applyBorder="1" applyAlignment="1">
      <alignment/>
    </xf>
    <xf numFmtId="4" fontId="0" fillId="3" borderId="10" xfId="0" applyNumberFormat="1" applyFont="1" applyFill="1" applyBorder="1" applyAlignment="1">
      <alignment/>
    </xf>
    <xf numFmtId="0" fontId="0" fillId="3" borderId="0" xfId="0" applyFont="1" applyFill="1" applyAlignment="1">
      <alignment/>
    </xf>
    <xf numFmtId="1" fontId="0" fillId="3" borderId="0" xfId="0" applyNumberFormat="1" applyFont="1" applyFill="1" applyAlignment="1">
      <alignment/>
    </xf>
    <xf numFmtId="3" fontId="0" fillId="0" borderId="10" xfId="0" applyNumberFormat="1" applyBorder="1" applyAlignment="1">
      <alignment/>
    </xf>
    <xf numFmtId="49" fontId="0" fillId="9" borderId="10" xfId="0" applyNumberFormat="1" applyFont="1" applyFill="1" applyBorder="1" applyAlignment="1">
      <alignment horizontal="center"/>
    </xf>
    <xf numFmtId="0" fontId="0" fillId="9" borderId="10" xfId="0" applyFont="1" applyFill="1" applyBorder="1" applyAlignment="1">
      <alignment horizontal="left" wrapText="1"/>
    </xf>
    <xf numFmtId="0" fontId="0" fillId="9" borderId="10" xfId="0" applyFont="1" applyFill="1" applyBorder="1" applyAlignment="1">
      <alignment/>
    </xf>
    <xf numFmtId="3" fontId="0" fillId="9" borderId="10" xfId="0" applyNumberFormat="1" applyFont="1" applyFill="1" applyBorder="1" applyAlignment="1">
      <alignment/>
    </xf>
    <xf numFmtId="4" fontId="0" fillId="9" borderId="10" xfId="0" applyNumberFormat="1" applyFont="1" applyFill="1" applyBorder="1" applyAlignment="1">
      <alignment/>
    </xf>
    <xf numFmtId="0" fontId="0" fillId="9" borderId="0" xfId="0" applyFont="1" applyFill="1" applyAlignment="1">
      <alignment/>
    </xf>
    <xf numFmtId="1" fontId="0" fillId="9" borderId="0" xfId="0" applyNumberFormat="1" applyFont="1" applyFill="1" applyAlignment="1">
      <alignment/>
    </xf>
    <xf numFmtId="0" fontId="60" fillId="35" borderId="10" xfId="0" applyFont="1" applyFill="1" applyBorder="1" applyAlignment="1">
      <alignment wrapText="1"/>
    </xf>
    <xf numFmtId="3" fontId="60" fillId="0" borderId="10" xfId="0" applyNumberFormat="1" applyFont="1" applyBorder="1" applyAlignment="1">
      <alignment/>
    </xf>
    <xf numFmtId="4" fontId="60" fillId="0" borderId="10" xfId="0" applyNumberFormat="1" applyFont="1" applyFill="1" applyBorder="1" applyAlignment="1">
      <alignment/>
    </xf>
    <xf numFmtId="0" fontId="60" fillId="0" borderId="0" xfId="0" applyFont="1" applyFill="1" applyAlignment="1">
      <alignment/>
    </xf>
    <xf numFmtId="1" fontId="60" fillId="33" borderId="0" xfId="0" applyNumberFormat="1" applyFont="1" applyFill="1" applyAlignment="1">
      <alignment/>
    </xf>
    <xf numFmtId="0" fontId="60" fillId="33" borderId="0" xfId="0" applyFont="1" applyFill="1" applyAlignment="1">
      <alignment/>
    </xf>
    <xf numFmtId="3" fontId="60" fillId="36" borderId="0" xfId="0" applyNumberFormat="1" applyFont="1" applyFill="1" applyAlignment="1">
      <alignment/>
    </xf>
    <xf numFmtId="1" fontId="60" fillId="36" borderId="0" xfId="0" applyNumberFormat="1" applyFont="1" applyFill="1" applyAlignment="1">
      <alignment/>
    </xf>
    <xf numFmtId="0" fontId="60" fillId="36" borderId="0" xfId="0" applyFont="1" applyFill="1" applyAlignment="1">
      <alignment/>
    </xf>
    <xf numFmtId="0" fontId="16" fillId="34" borderId="0" xfId="0" applyFont="1" applyFill="1" applyBorder="1" applyAlignment="1">
      <alignment horizontal="center" wrapText="1"/>
    </xf>
    <xf numFmtId="0" fontId="17" fillId="34" borderId="10" xfId="0" applyFont="1" applyFill="1" applyBorder="1" applyAlignment="1">
      <alignment horizontal="center" vertical="center" wrapText="1"/>
    </xf>
    <xf numFmtId="0" fontId="15" fillId="34" borderId="10" xfId="0" applyFont="1" applyFill="1" applyBorder="1" applyAlignment="1">
      <alignment horizontal="center" vertical="center" wrapText="1"/>
    </xf>
    <xf numFmtId="0" fontId="9" fillId="0" borderId="0" xfId="0" applyFont="1" applyAlignment="1">
      <alignment horizontal="left"/>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8" fillId="0" borderId="16" xfId="0" applyFont="1"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5" fillId="0" borderId="10" xfId="0" applyFont="1" applyFill="1" applyBorder="1" applyAlignment="1">
      <alignment horizontal="center" vertical="center" wrapText="1"/>
    </xf>
    <xf numFmtId="0" fontId="42" fillId="0" borderId="0" xfId="0" applyFont="1" applyAlignment="1">
      <alignment horizontal="left"/>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Процентный 2"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4;&#1086;&#1076;&#1072;&#1090;&#1086;&#1082;%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Місто"/>
    </sheetNames>
    <sheetDataSet>
      <sheetData sheetId="0">
        <row r="11">
          <cell r="P11">
            <v>42269802</v>
          </cell>
        </row>
        <row r="14">
          <cell r="P14">
            <v>16756681</v>
          </cell>
        </row>
        <row r="17">
          <cell r="P17">
            <v>5864355</v>
          </cell>
        </row>
        <row r="40">
          <cell r="P40">
            <v>19648766</v>
          </cell>
        </row>
        <row r="46">
          <cell r="P46">
            <v>139180380</v>
          </cell>
        </row>
        <row r="51">
          <cell r="P51">
            <v>23375477</v>
          </cell>
        </row>
        <row r="53">
          <cell r="P53">
            <v>18401084</v>
          </cell>
        </row>
        <row r="61">
          <cell r="P61">
            <v>2894711</v>
          </cell>
        </row>
        <row r="65">
          <cell r="P65">
            <v>1324818</v>
          </cell>
        </row>
        <row r="66">
          <cell r="P66">
            <v>242914</v>
          </cell>
        </row>
        <row r="72">
          <cell r="P72">
            <v>8456</v>
          </cell>
        </row>
        <row r="73">
          <cell r="P73">
            <v>1519250</v>
          </cell>
        </row>
        <row r="85">
          <cell r="P85">
            <v>14976064</v>
          </cell>
        </row>
        <row r="87">
          <cell r="P87">
            <v>74090141</v>
          </cell>
        </row>
        <row r="89">
          <cell r="P89">
            <v>2347465</v>
          </cell>
        </row>
        <row r="101">
          <cell r="P101">
            <v>12325014</v>
          </cell>
        </row>
        <row r="115">
          <cell r="P115">
            <v>4774184</v>
          </cell>
        </row>
        <row r="117">
          <cell r="P117">
            <v>7500830</v>
          </cell>
        </row>
        <row r="123">
          <cell r="P123">
            <v>50000</v>
          </cell>
        </row>
        <row r="127">
          <cell r="P127">
            <v>133376029</v>
          </cell>
        </row>
        <row r="130">
          <cell r="P130">
            <v>3275458</v>
          </cell>
        </row>
        <row r="132">
          <cell r="P132">
            <v>72082588</v>
          </cell>
        </row>
        <row r="136">
          <cell r="P136">
            <v>17880448</v>
          </cell>
        </row>
        <row r="144">
          <cell r="P144">
            <v>3516613</v>
          </cell>
        </row>
        <row r="150">
          <cell r="P150">
            <v>10359713</v>
          </cell>
        </row>
        <row r="164">
          <cell r="P164">
            <v>26261209</v>
          </cell>
        </row>
        <row r="166">
          <cell r="P166">
            <v>7454104</v>
          </cell>
        </row>
        <row r="169">
          <cell r="P169">
            <v>3018096</v>
          </cell>
        </row>
        <row r="203">
          <cell r="P203">
            <v>80000</v>
          </cell>
        </row>
        <row r="232">
          <cell r="P232">
            <v>1527960</v>
          </cell>
        </row>
        <row r="242">
          <cell r="P242">
            <v>191000</v>
          </cell>
        </row>
        <row r="246">
          <cell r="P246">
            <v>2637048</v>
          </cell>
        </row>
        <row r="250">
          <cell r="P250">
            <v>108583</v>
          </cell>
        </row>
        <row r="255">
          <cell r="P255">
            <v>108583</v>
          </cell>
        </row>
        <row r="263">
          <cell r="P263">
            <v>14263900</v>
          </cell>
        </row>
        <row r="266">
          <cell r="P266">
            <v>1546654</v>
          </cell>
        </row>
        <row r="268">
          <cell r="P268">
            <v>808480</v>
          </cell>
        </row>
        <row r="269">
          <cell r="P269">
            <v>1350433</v>
          </cell>
        </row>
        <row r="270">
          <cell r="P270">
            <v>5182870</v>
          </cell>
        </row>
        <row r="271">
          <cell r="P271">
            <v>3899913</v>
          </cell>
        </row>
        <row r="280">
          <cell r="P280">
            <v>1475550</v>
          </cell>
        </row>
        <row r="287">
          <cell r="P287">
            <v>143660</v>
          </cell>
        </row>
        <row r="290">
          <cell r="P290">
            <v>143660</v>
          </cell>
        </row>
        <row r="291">
          <cell r="P291">
            <v>5190788</v>
          </cell>
        </row>
        <row r="294">
          <cell r="P294">
            <v>1911496</v>
          </cell>
        </row>
        <row r="296">
          <cell r="P296">
            <v>3279292</v>
          </cell>
        </row>
        <row r="303">
          <cell r="P303">
            <v>112200</v>
          </cell>
        </row>
        <row r="306">
          <cell r="P306">
            <v>112200</v>
          </cell>
        </row>
        <row r="307">
          <cell r="P307">
            <v>590620432</v>
          </cell>
        </row>
        <row r="310">
          <cell r="P310">
            <v>806216</v>
          </cell>
        </row>
        <row r="314">
          <cell r="P314">
            <v>407363196</v>
          </cell>
        </row>
        <row r="315">
          <cell r="P315">
            <v>92428191</v>
          </cell>
        </row>
        <row r="318">
          <cell r="P318">
            <v>2319216</v>
          </cell>
        </row>
        <row r="319">
          <cell r="P319">
            <v>4718800</v>
          </cell>
        </row>
        <row r="320">
          <cell r="P320">
            <v>50585426</v>
          </cell>
        </row>
        <row r="323">
          <cell r="P323">
            <v>687275</v>
          </cell>
        </row>
        <row r="326">
          <cell r="P326">
            <v>31842465</v>
          </cell>
        </row>
        <row r="329">
          <cell r="P329">
            <v>556922</v>
          </cell>
        </row>
        <row r="335">
          <cell r="P335">
            <v>298189289</v>
          </cell>
        </row>
        <row r="338">
          <cell r="P338">
            <v>747144</v>
          </cell>
        </row>
        <row r="345">
          <cell r="P345">
            <v>9493246</v>
          </cell>
        </row>
        <row r="349">
          <cell r="P349">
            <v>180788070</v>
          </cell>
        </row>
        <row r="351">
          <cell r="P351">
            <v>14593349</v>
          </cell>
        </row>
        <row r="372">
          <cell r="P372">
            <v>3374990</v>
          </cell>
        </row>
        <row r="375">
          <cell r="P375">
            <v>770000</v>
          </cell>
        </row>
        <row r="411">
          <cell r="P411">
            <v>344347300</v>
          </cell>
        </row>
        <row r="421">
          <cell r="P421">
            <v>21256429</v>
          </cell>
        </row>
        <row r="422">
          <cell r="P422">
            <v>8868362</v>
          </cell>
        </row>
        <row r="426">
          <cell r="P426">
            <v>72666163</v>
          </cell>
        </row>
        <row r="441">
          <cell r="P441">
            <v>0</v>
          </cell>
        </row>
        <row r="467">
          <cell r="P467">
            <v>5745400</v>
          </cell>
        </row>
        <row r="472">
          <cell r="P472">
            <v>5745400</v>
          </cell>
        </row>
        <row r="475">
          <cell r="P475">
            <v>715450</v>
          </cell>
        </row>
        <row r="478">
          <cell r="P478">
            <v>642917</v>
          </cell>
        </row>
        <row r="481">
          <cell r="P481">
            <v>72533</v>
          </cell>
        </row>
        <row r="498">
          <cell r="P498">
            <v>6189586</v>
          </cell>
        </row>
        <row r="501">
          <cell r="P501">
            <v>618620</v>
          </cell>
        </row>
        <row r="504">
          <cell r="P504">
            <v>400000</v>
          </cell>
        </row>
        <row r="521">
          <cell r="P521">
            <v>10174731</v>
          </cell>
        </row>
        <row r="524">
          <cell r="P524">
            <v>579141</v>
          </cell>
        </row>
        <row r="527">
          <cell r="P527">
            <v>1080676</v>
          </cell>
        </row>
        <row r="545">
          <cell r="P545">
            <v>10644744</v>
          </cell>
        </row>
        <row r="548">
          <cell r="P548">
            <v>688868</v>
          </cell>
        </row>
        <row r="551">
          <cell r="P551">
            <v>59800</v>
          </cell>
        </row>
        <row r="568">
          <cell r="P568">
            <v>14947730</v>
          </cell>
        </row>
        <row r="571">
          <cell r="P571">
            <v>1712194</v>
          </cell>
        </row>
        <row r="574">
          <cell r="P574">
            <v>590758</v>
          </cell>
        </row>
        <row r="591">
          <cell r="P591">
            <v>4694815</v>
          </cell>
        </row>
        <row r="594">
          <cell r="P594">
            <v>1591935</v>
          </cell>
        </row>
        <row r="597">
          <cell r="P597">
            <v>59000</v>
          </cell>
        </row>
        <row r="614">
          <cell r="P614">
            <v>5399191</v>
          </cell>
        </row>
        <row r="617">
          <cell r="P617">
            <v>2173226</v>
          </cell>
        </row>
        <row r="637">
          <cell r="P637">
            <v>1650238118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U898"/>
  <sheetViews>
    <sheetView tabSelected="1" view="pageBreakPreview" zoomScale="75" zoomScaleNormal="75" zoomScaleSheetLayoutView="75" zoomScalePageLayoutView="0" workbookViewId="0" topLeftCell="A1">
      <selection activeCell="G4" sqref="G4"/>
    </sheetView>
  </sheetViews>
  <sheetFormatPr defaultColWidth="9.00390625" defaultRowHeight="12.75"/>
  <cols>
    <col min="1" max="1" width="11.25390625" style="19" customWidth="1"/>
    <col min="2" max="2" width="8.625" style="23" hidden="1" customWidth="1"/>
    <col min="3" max="4" width="10.625" style="23" customWidth="1"/>
    <col min="5" max="5" width="43.375" style="19" customWidth="1"/>
    <col min="6" max="6" width="61.75390625" style="19" customWidth="1"/>
    <col min="7" max="7" width="17.875" style="19" customWidth="1"/>
    <col min="8" max="8" width="24.25390625" style="19" customWidth="1"/>
    <col min="9" max="9" width="21.875" style="19" customWidth="1"/>
    <col min="10" max="10" width="19.75390625" style="19" customWidth="1"/>
    <col min="11" max="11" width="11.75390625" style="19" customWidth="1"/>
    <col min="12" max="12" width="17.875" style="19" customWidth="1"/>
    <col min="13" max="16384" width="9.125" style="19" customWidth="1"/>
  </cols>
  <sheetData>
    <row r="1" spans="1:10" s="111" customFormat="1" ht="31.5">
      <c r="A1" s="87"/>
      <c r="B1" s="87"/>
      <c r="C1" s="87"/>
      <c r="D1" s="87"/>
      <c r="E1" s="86"/>
      <c r="F1" s="86"/>
      <c r="G1" s="60" t="s">
        <v>823</v>
      </c>
      <c r="H1" s="87"/>
      <c r="I1" s="88"/>
      <c r="J1" s="89"/>
    </row>
    <row r="2" spans="1:10" s="111" customFormat="1" ht="31.5">
      <c r="A2" s="87"/>
      <c r="B2" s="87"/>
      <c r="C2" s="87"/>
      <c r="D2" s="87"/>
      <c r="E2" s="86"/>
      <c r="F2" s="86"/>
      <c r="G2" s="60" t="s">
        <v>65</v>
      </c>
      <c r="H2" s="87"/>
      <c r="I2" s="88"/>
      <c r="J2" s="89"/>
    </row>
    <row r="3" spans="1:10" s="111" customFormat="1" ht="30.75">
      <c r="A3" s="87"/>
      <c r="B3" s="87"/>
      <c r="C3" s="87"/>
      <c r="D3" s="87"/>
      <c r="E3" s="86"/>
      <c r="F3" s="86"/>
      <c r="G3" s="216" t="s">
        <v>1379</v>
      </c>
      <c r="H3" s="87"/>
      <c r="I3" s="90"/>
      <c r="J3" s="89"/>
    </row>
    <row r="4" spans="1:10" s="111" customFormat="1" ht="12.75">
      <c r="A4" s="87"/>
      <c r="B4" s="87"/>
      <c r="C4" s="87"/>
      <c r="D4" s="87"/>
      <c r="E4" s="86"/>
      <c r="F4" s="86"/>
      <c r="G4" s="87"/>
      <c r="H4" s="87"/>
      <c r="I4" s="87"/>
      <c r="J4" s="89"/>
    </row>
    <row r="5" spans="4:10" s="111" customFormat="1" ht="22.5" customHeight="1">
      <c r="D5" s="205" t="s">
        <v>830</v>
      </c>
      <c r="E5" s="205"/>
      <c r="F5" s="205"/>
      <c r="G5" s="205"/>
      <c r="H5" s="205"/>
      <c r="I5" s="205"/>
      <c r="J5" s="205"/>
    </row>
    <row r="6" spans="1:10" s="111" customFormat="1" ht="12.75">
      <c r="A6" s="92"/>
      <c r="B6" s="92"/>
      <c r="C6" s="92"/>
      <c r="D6" s="92"/>
      <c r="E6" s="91"/>
      <c r="F6" s="91"/>
      <c r="G6" s="92"/>
      <c r="H6" s="92"/>
      <c r="I6" s="92"/>
      <c r="J6" s="93"/>
    </row>
    <row r="7" spans="1:10" s="111" customFormat="1" ht="12.75">
      <c r="A7" s="92"/>
      <c r="B7" s="92"/>
      <c r="C7" s="92"/>
      <c r="D7" s="92"/>
      <c r="E7" s="91"/>
      <c r="F7" s="91"/>
      <c r="G7" s="92"/>
      <c r="H7" s="92"/>
      <c r="I7" s="92"/>
      <c r="J7" s="93" t="s">
        <v>675</v>
      </c>
    </row>
    <row r="8" spans="1:10" ht="12.75" customHeight="1">
      <c r="A8" s="206" t="s">
        <v>443</v>
      </c>
      <c r="B8" s="206" t="s">
        <v>442</v>
      </c>
      <c r="C8" s="209" t="s">
        <v>966</v>
      </c>
      <c r="D8" s="206" t="s">
        <v>475</v>
      </c>
      <c r="E8" s="212" t="s">
        <v>832</v>
      </c>
      <c r="F8" s="207" t="s">
        <v>824</v>
      </c>
      <c r="G8" s="207" t="s">
        <v>825</v>
      </c>
      <c r="H8" s="207" t="s">
        <v>826</v>
      </c>
      <c r="I8" s="207" t="s">
        <v>827</v>
      </c>
      <c r="J8" s="215" t="s">
        <v>828</v>
      </c>
    </row>
    <row r="9" spans="1:10" ht="12.75" customHeight="1">
      <c r="A9" s="206"/>
      <c r="B9" s="206"/>
      <c r="C9" s="210"/>
      <c r="D9" s="206"/>
      <c r="E9" s="213"/>
      <c r="F9" s="207"/>
      <c r="G9" s="207"/>
      <c r="H9" s="207"/>
      <c r="I9" s="207"/>
      <c r="J9" s="215"/>
    </row>
    <row r="10" spans="1:10" ht="67.5" customHeight="1">
      <c r="A10" s="206"/>
      <c r="B10" s="206"/>
      <c r="C10" s="211"/>
      <c r="D10" s="206"/>
      <c r="E10" s="214"/>
      <c r="F10" s="207"/>
      <c r="G10" s="207"/>
      <c r="H10" s="207"/>
      <c r="I10" s="207"/>
      <c r="J10" s="215"/>
    </row>
    <row r="11" spans="1:10" ht="22.5" customHeight="1">
      <c r="A11" s="117">
        <v>1</v>
      </c>
      <c r="B11" s="118">
        <v>2</v>
      </c>
      <c r="C11" s="118">
        <v>2</v>
      </c>
      <c r="D11" s="118">
        <v>3</v>
      </c>
      <c r="E11" s="118">
        <v>4</v>
      </c>
      <c r="F11" s="118">
        <v>5</v>
      </c>
      <c r="G11" s="118">
        <v>6</v>
      </c>
      <c r="H11" s="118">
        <v>7</v>
      </c>
      <c r="I11" s="118">
        <v>8</v>
      </c>
      <c r="J11" s="118">
        <v>9</v>
      </c>
    </row>
    <row r="12" spans="1:12" s="20" customFormat="1" ht="12.75">
      <c r="A12" s="31" t="s">
        <v>136</v>
      </c>
      <c r="B12" s="31" t="s">
        <v>270</v>
      </c>
      <c r="C12" s="31" t="s">
        <v>270</v>
      </c>
      <c r="D12" s="31"/>
      <c r="E12" s="33" t="s">
        <v>108</v>
      </c>
      <c r="F12" s="99"/>
      <c r="G12" s="146">
        <f>G13</f>
        <v>0</v>
      </c>
      <c r="H12" s="146"/>
      <c r="I12" s="146">
        <f>I13</f>
        <v>0</v>
      </c>
      <c r="J12" s="146">
        <f>J13</f>
        <v>42269802</v>
      </c>
      <c r="L12" s="122">
        <f>J12-'[1]Місто'!$P$11</f>
        <v>0</v>
      </c>
    </row>
    <row r="13" spans="1:10" s="21" customFormat="1" ht="12.75">
      <c r="A13" s="29" t="s">
        <v>137</v>
      </c>
      <c r="B13" s="29"/>
      <c r="C13" s="29"/>
      <c r="D13" s="29"/>
      <c r="E13" s="26" t="s">
        <v>108</v>
      </c>
      <c r="F13" s="100"/>
      <c r="G13" s="119">
        <f>G14+G16+G20+G25+G29</f>
        <v>0</v>
      </c>
      <c r="H13" s="119"/>
      <c r="I13" s="119">
        <f>I14+I16+I20+I25+I29</f>
        <v>0</v>
      </c>
      <c r="J13" s="119">
        <f>J14+J16+J20+J25+J29</f>
        <v>42269802</v>
      </c>
    </row>
    <row r="14" spans="1:10" s="21" customFormat="1" ht="12.75">
      <c r="A14" s="61" t="s">
        <v>568</v>
      </c>
      <c r="B14" s="61" t="s">
        <v>567</v>
      </c>
      <c r="C14" s="61" t="s">
        <v>833</v>
      </c>
      <c r="D14" s="61"/>
      <c r="E14" s="72" t="s">
        <v>569</v>
      </c>
      <c r="F14" s="100"/>
      <c r="G14" s="119"/>
      <c r="H14" s="119"/>
      <c r="I14" s="119"/>
      <c r="J14" s="119">
        <f>J15</f>
        <v>16756681</v>
      </c>
    </row>
    <row r="15" spans="1:10" ht="38.25">
      <c r="A15" s="29" t="s">
        <v>1335</v>
      </c>
      <c r="B15" s="15" t="s">
        <v>30</v>
      </c>
      <c r="C15" s="27" t="s">
        <v>515</v>
      </c>
      <c r="D15" s="27" t="s">
        <v>476</v>
      </c>
      <c r="E15" s="28" t="s">
        <v>1334</v>
      </c>
      <c r="F15" s="126" t="s">
        <v>1110</v>
      </c>
      <c r="G15" s="120"/>
      <c r="H15" s="95"/>
      <c r="I15" s="120"/>
      <c r="J15" s="120">
        <f>'[1]Місто'!$P$14</f>
        <v>16756681</v>
      </c>
    </row>
    <row r="16" spans="1:10" ht="12.75">
      <c r="A16" s="61" t="s">
        <v>518</v>
      </c>
      <c r="B16" s="62" t="s">
        <v>516</v>
      </c>
      <c r="C16" s="62" t="s">
        <v>834</v>
      </c>
      <c r="D16" s="62"/>
      <c r="E16" s="63" t="s">
        <v>517</v>
      </c>
      <c r="F16" s="98"/>
      <c r="G16" s="120"/>
      <c r="H16" s="120"/>
      <c r="I16" s="120"/>
      <c r="J16" s="120">
        <f>J17</f>
        <v>5864355</v>
      </c>
    </row>
    <row r="17" spans="1:10" ht="12.75">
      <c r="A17" s="61" t="s">
        <v>593</v>
      </c>
      <c r="B17" s="62"/>
      <c r="C17" s="62" t="s">
        <v>835</v>
      </c>
      <c r="D17" s="62"/>
      <c r="E17" s="63" t="s">
        <v>594</v>
      </c>
      <c r="F17" s="98"/>
      <c r="G17" s="120"/>
      <c r="H17" s="120"/>
      <c r="I17" s="120"/>
      <c r="J17" s="120">
        <f>J18+J19</f>
        <v>5864355</v>
      </c>
    </row>
    <row r="18" spans="1:10" ht="25.5">
      <c r="A18" s="27" t="s">
        <v>747</v>
      </c>
      <c r="B18" s="27" t="s">
        <v>75</v>
      </c>
      <c r="C18" s="27" t="s">
        <v>836</v>
      </c>
      <c r="D18" s="27" t="s">
        <v>477</v>
      </c>
      <c r="E18" s="28" t="s">
        <v>225</v>
      </c>
      <c r="F18" s="126" t="s">
        <v>1110</v>
      </c>
      <c r="G18" s="120"/>
      <c r="H18" s="120"/>
      <c r="I18" s="120"/>
      <c r="J18" s="120">
        <f>'[1]Місто'!$P$17</f>
        <v>5864355</v>
      </c>
    </row>
    <row r="19" spans="1:10" ht="27" customHeight="1" hidden="1">
      <c r="A19" s="29" t="s">
        <v>312</v>
      </c>
      <c r="B19" s="15">
        <v>120201</v>
      </c>
      <c r="C19" s="27" t="s">
        <v>837</v>
      </c>
      <c r="D19" s="27" t="s">
        <v>477</v>
      </c>
      <c r="E19" s="25" t="s">
        <v>138</v>
      </c>
      <c r="F19" s="98"/>
      <c r="G19" s="120"/>
      <c r="H19" s="120"/>
      <c r="I19" s="120"/>
      <c r="J19" s="120">
        <f>'[1]Місто'!$P$18</f>
        <v>0</v>
      </c>
    </row>
    <row r="20" spans="1:10" ht="12.75" hidden="1">
      <c r="A20" s="62" t="s">
        <v>756</v>
      </c>
      <c r="B20" s="62" t="s">
        <v>530</v>
      </c>
      <c r="C20" s="62" t="s">
        <v>838</v>
      </c>
      <c r="D20" s="62"/>
      <c r="E20" s="63" t="s">
        <v>533</v>
      </c>
      <c r="F20" s="98"/>
      <c r="G20" s="120">
        <f>G21+G24</f>
        <v>0</v>
      </c>
      <c r="H20" s="120"/>
      <c r="I20" s="147">
        <f>I21+I24</f>
        <v>0</v>
      </c>
      <c r="J20" s="120">
        <f>J21+J24</f>
        <v>0</v>
      </c>
    </row>
    <row r="21" spans="1:10" ht="26.25" customHeight="1" hidden="1">
      <c r="A21" s="29" t="s">
        <v>139</v>
      </c>
      <c r="B21" s="15" t="s">
        <v>63</v>
      </c>
      <c r="C21" s="27" t="s">
        <v>839</v>
      </c>
      <c r="D21" s="27" t="s">
        <v>478</v>
      </c>
      <c r="E21" s="28" t="s">
        <v>140</v>
      </c>
      <c r="F21" s="98"/>
      <c r="G21" s="120">
        <f>SUM(G22:G23)</f>
        <v>0</v>
      </c>
      <c r="H21" s="120"/>
      <c r="I21" s="120">
        <f>SUM(I22:I23)</f>
        <v>0</v>
      </c>
      <c r="J21" s="120">
        <f>SUM(J22:J23)</f>
        <v>0</v>
      </c>
    </row>
    <row r="22" spans="1:10" ht="26.25" customHeight="1" hidden="1">
      <c r="A22" s="29"/>
      <c r="B22" s="15"/>
      <c r="C22" s="15"/>
      <c r="D22" s="27"/>
      <c r="E22" s="28"/>
      <c r="F22" s="98"/>
      <c r="G22" s="120"/>
      <c r="H22" s="120"/>
      <c r="I22" s="120"/>
      <c r="J22" s="120"/>
    </row>
    <row r="23" spans="1:10" ht="26.25" customHeight="1" hidden="1">
      <c r="A23" s="29"/>
      <c r="B23" s="15"/>
      <c r="C23" s="15"/>
      <c r="D23" s="27"/>
      <c r="E23" s="28"/>
      <c r="F23" s="98"/>
      <c r="G23" s="120"/>
      <c r="H23" s="120"/>
      <c r="I23" s="120"/>
      <c r="J23" s="120"/>
    </row>
    <row r="24" spans="1:10" ht="162.75" customHeight="1" hidden="1">
      <c r="A24" s="29" t="s">
        <v>384</v>
      </c>
      <c r="B24" s="27" t="s">
        <v>274</v>
      </c>
      <c r="C24" s="27" t="s">
        <v>840</v>
      </c>
      <c r="D24" s="27" t="s">
        <v>490</v>
      </c>
      <c r="E24" s="43" t="s">
        <v>275</v>
      </c>
      <c r="F24" s="98"/>
      <c r="G24" s="120"/>
      <c r="H24" s="120"/>
      <c r="I24" s="120"/>
      <c r="J24" s="120"/>
    </row>
    <row r="25" spans="1:10" ht="25.5" hidden="1">
      <c r="A25" s="62" t="s">
        <v>520</v>
      </c>
      <c r="B25" s="62" t="s">
        <v>519</v>
      </c>
      <c r="C25" s="62" t="s">
        <v>841</v>
      </c>
      <c r="D25" s="62"/>
      <c r="E25" s="64" t="s">
        <v>521</v>
      </c>
      <c r="F25" s="98"/>
      <c r="G25" s="120"/>
      <c r="H25" s="120"/>
      <c r="I25" s="120"/>
      <c r="J25" s="120">
        <f>J26</f>
        <v>0</v>
      </c>
    </row>
    <row r="26" spans="1:10" ht="25.5" hidden="1">
      <c r="A26" s="27" t="s">
        <v>474</v>
      </c>
      <c r="B26" s="15" t="s">
        <v>71</v>
      </c>
      <c r="C26" s="27" t="s">
        <v>842</v>
      </c>
      <c r="D26" s="27" t="s">
        <v>478</v>
      </c>
      <c r="E26" s="25" t="s">
        <v>211</v>
      </c>
      <c r="F26" s="98"/>
      <c r="G26" s="120"/>
      <c r="H26" s="120"/>
      <c r="I26" s="120"/>
      <c r="J26" s="120"/>
    </row>
    <row r="27" spans="1:13" s="114" customFormat="1" ht="15.75" hidden="1">
      <c r="A27" s="97"/>
      <c r="B27" s="97"/>
      <c r="C27" s="97"/>
      <c r="D27" s="112"/>
      <c r="E27" s="94"/>
      <c r="F27" s="94" t="s">
        <v>829</v>
      </c>
      <c r="G27" s="96"/>
      <c r="H27" s="148"/>
      <c r="I27" s="96"/>
      <c r="J27" s="95"/>
      <c r="K27" s="113"/>
      <c r="M27" s="113"/>
    </row>
    <row r="28" spans="1:13" s="114" customFormat="1" ht="15.75" hidden="1">
      <c r="A28" s="97"/>
      <c r="B28" s="97"/>
      <c r="C28" s="97"/>
      <c r="D28" s="112"/>
      <c r="E28" s="94"/>
      <c r="F28" s="94"/>
      <c r="G28" s="96"/>
      <c r="H28" s="148"/>
      <c r="I28" s="96"/>
      <c r="J28" s="95"/>
      <c r="K28" s="113"/>
      <c r="M28" s="113"/>
    </row>
    <row r="29" spans="1:10" ht="12.75">
      <c r="A29" s="61" t="s">
        <v>570</v>
      </c>
      <c r="B29" s="62" t="s">
        <v>535</v>
      </c>
      <c r="C29" s="62" t="s">
        <v>843</v>
      </c>
      <c r="D29" s="62"/>
      <c r="E29" s="64" t="s">
        <v>536</v>
      </c>
      <c r="F29" s="98"/>
      <c r="G29" s="120"/>
      <c r="H29" s="120"/>
      <c r="I29" s="120"/>
      <c r="J29" s="120">
        <f>J30+J32</f>
        <v>19648766</v>
      </c>
    </row>
    <row r="30" spans="1:10" ht="12.75" hidden="1">
      <c r="A30" s="61"/>
      <c r="B30" s="62"/>
      <c r="C30" s="62"/>
      <c r="D30" s="62"/>
      <c r="E30" s="64" t="s">
        <v>758</v>
      </c>
      <c r="F30" s="98"/>
      <c r="G30" s="120"/>
      <c r="H30" s="120"/>
      <c r="I30" s="120"/>
      <c r="J30" s="120">
        <f>J31</f>
        <v>0</v>
      </c>
    </row>
    <row r="31" spans="1:10" ht="12.75" hidden="1">
      <c r="A31" s="29" t="s">
        <v>141</v>
      </c>
      <c r="B31" s="27" t="s">
        <v>56</v>
      </c>
      <c r="C31" s="27" t="s">
        <v>844</v>
      </c>
      <c r="D31" s="27" t="s">
        <v>759</v>
      </c>
      <c r="E31" s="25" t="s">
        <v>757</v>
      </c>
      <c r="F31" s="98"/>
      <c r="G31" s="120"/>
      <c r="H31" s="120"/>
      <c r="I31" s="120"/>
      <c r="J31" s="120">
        <v>0</v>
      </c>
    </row>
    <row r="32" spans="1:10" ht="15" customHeight="1">
      <c r="A32" s="18" t="s">
        <v>352</v>
      </c>
      <c r="B32" s="15" t="s">
        <v>50</v>
      </c>
      <c r="C32" s="15" t="s">
        <v>845</v>
      </c>
      <c r="D32" s="15" t="s">
        <v>479</v>
      </c>
      <c r="E32" s="14" t="s">
        <v>350</v>
      </c>
      <c r="F32" s="126" t="s">
        <v>1110</v>
      </c>
      <c r="G32" s="120"/>
      <c r="H32" s="120"/>
      <c r="I32" s="120"/>
      <c r="J32" s="120">
        <f>SUM(J33:J41)</f>
        <v>19648766</v>
      </c>
    </row>
    <row r="33" spans="1:10" ht="56.25" customHeight="1" hidden="1">
      <c r="A33" s="29" t="s">
        <v>310</v>
      </c>
      <c r="B33" s="27" t="s">
        <v>50</v>
      </c>
      <c r="C33" s="27" t="s">
        <v>846</v>
      </c>
      <c r="D33" s="27" t="s">
        <v>479</v>
      </c>
      <c r="E33" s="25" t="s">
        <v>143</v>
      </c>
      <c r="F33" s="98"/>
      <c r="G33" s="120"/>
      <c r="H33" s="120"/>
      <c r="I33" s="120"/>
      <c r="J33" s="120"/>
    </row>
    <row r="34" spans="1:10" s="36" customFormat="1" ht="41.25" customHeight="1" hidden="1">
      <c r="A34" s="29" t="s">
        <v>418</v>
      </c>
      <c r="B34" s="18" t="s">
        <v>50</v>
      </c>
      <c r="C34" s="29" t="s">
        <v>847</v>
      </c>
      <c r="D34" s="27" t="s">
        <v>479</v>
      </c>
      <c r="E34" s="44" t="s">
        <v>737</v>
      </c>
      <c r="F34" s="101"/>
      <c r="G34" s="149"/>
      <c r="H34" s="149"/>
      <c r="I34" s="149"/>
      <c r="J34" s="149"/>
    </row>
    <row r="35" spans="1:10" ht="51" customHeight="1" hidden="1">
      <c r="A35" s="29" t="s">
        <v>369</v>
      </c>
      <c r="B35" s="27" t="s">
        <v>50</v>
      </c>
      <c r="C35" s="27" t="s">
        <v>848</v>
      </c>
      <c r="D35" s="27" t="s">
        <v>479</v>
      </c>
      <c r="E35" s="25" t="s">
        <v>1103</v>
      </c>
      <c r="F35" s="98"/>
      <c r="G35" s="120"/>
      <c r="H35" s="120"/>
      <c r="I35" s="120"/>
      <c r="J35" s="120"/>
    </row>
    <row r="36" spans="1:10" ht="51" customHeight="1" hidden="1">
      <c r="A36" s="29" t="s">
        <v>760</v>
      </c>
      <c r="B36" s="27" t="s">
        <v>50</v>
      </c>
      <c r="C36" s="27" t="s">
        <v>849</v>
      </c>
      <c r="D36" s="27" t="s">
        <v>479</v>
      </c>
      <c r="E36" s="25" t="s">
        <v>410</v>
      </c>
      <c r="F36" s="98"/>
      <c r="G36" s="120"/>
      <c r="H36" s="120"/>
      <c r="I36" s="120"/>
      <c r="J36" s="120"/>
    </row>
    <row r="37" spans="1:10" ht="53.25" customHeight="1" hidden="1">
      <c r="A37" s="29" t="s">
        <v>761</v>
      </c>
      <c r="B37" s="27" t="s">
        <v>50</v>
      </c>
      <c r="C37" s="27" t="s">
        <v>850</v>
      </c>
      <c r="D37" s="27" t="s">
        <v>479</v>
      </c>
      <c r="E37" s="25" t="s">
        <v>299</v>
      </c>
      <c r="F37" s="98"/>
      <c r="G37" s="120"/>
      <c r="H37" s="120"/>
      <c r="I37" s="120"/>
      <c r="J37" s="120"/>
    </row>
    <row r="38" spans="1:10" ht="38.25" hidden="1">
      <c r="A38" s="29" t="s">
        <v>345</v>
      </c>
      <c r="B38" s="27" t="s">
        <v>50</v>
      </c>
      <c r="C38" s="27" t="s">
        <v>851</v>
      </c>
      <c r="D38" s="27" t="s">
        <v>479</v>
      </c>
      <c r="E38" s="25" t="s">
        <v>276</v>
      </c>
      <c r="F38" s="98"/>
      <c r="G38" s="120"/>
      <c r="H38" s="120"/>
      <c r="I38" s="120"/>
      <c r="J38" s="120"/>
    </row>
    <row r="39" spans="1:10" ht="107.25" customHeight="1" hidden="1">
      <c r="A39" s="29" t="s">
        <v>309</v>
      </c>
      <c r="B39" s="27" t="s">
        <v>50</v>
      </c>
      <c r="C39" s="27" t="s">
        <v>852</v>
      </c>
      <c r="D39" s="27" t="s">
        <v>479</v>
      </c>
      <c r="E39" s="25" t="s">
        <v>1102</v>
      </c>
      <c r="F39" s="98"/>
      <c r="G39" s="120"/>
      <c r="H39" s="120"/>
      <c r="I39" s="120"/>
      <c r="J39" s="120"/>
    </row>
    <row r="40" spans="1:10" ht="25.5" hidden="1">
      <c r="A40" s="29" t="s">
        <v>762</v>
      </c>
      <c r="B40" s="27" t="s">
        <v>50</v>
      </c>
      <c r="C40" s="27" t="s">
        <v>853</v>
      </c>
      <c r="D40" s="27" t="s">
        <v>479</v>
      </c>
      <c r="E40" s="25" t="s">
        <v>763</v>
      </c>
      <c r="F40" s="98"/>
      <c r="G40" s="120"/>
      <c r="H40" s="120"/>
      <c r="I40" s="120"/>
      <c r="J40" s="120"/>
    </row>
    <row r="41" spans="1:10" s="21" customFormat="1" ht="15" customHeight="1" hidden="1">
      <c r="A41" s="18" t="s">
        <v>715</v>
      </c>
      <c r="B41" s="18" t="s">
        <v>50</v>
      </c>
      <c r="C41" s="29" t="s">
        <v>854</v>
      </c>
      <c r="D41" s="29" t="s">
        <v>479</v>
      </c>
      <c r="E41" s="25" t="s">
        <v>716</v>
      </c>
      <c r="F41" s="100"/>
      <c r="G41" s="119"/>
      <c r="H41" s="119"/>
      <c r="I41" s="119"/>
      <c r="J41" s="119">
        <f>'[1]Місто'!$P$40</f>
        <v>19648766</v>
      </c>
    </row>
    <row r="42" spans="1:12" s="20" customFormat="1" ht="29.25" customHeight="1">
      <c r="A42" s="31" t="s">
        <v>144</v>
      </c>
      <c r="B42" s="31" t="s">
        <v>119</v>
      </c>
      <c r="C42" s="31" t="s">
        <v>119</v>
      </c>
      <c r="D42" s="31"/>
      <c r="E42" s="30" t="s">
        <v>712</v>
      </c>
      <c r="F42" s="99"/>
      <c r="G42" s="146">
        <f>G43</f>
        <v>235388660</v>
      </c>
      <c r="H42" s="146"/>
      <c r="I42" s="146">
        <f>I43</f>
        <v>190987147</v>
      </c>
      <c r="J42" s="146">
        <f>J43</f>
        <v>139180380</v>
      </c>
      <c r="L42" s="122">
        <f>J42-'[1]Місто'!$P$46</f>
        <v>0</v>
      </c>
    </row>
    <row r="43" spans="1:10" ht="30.75" customHeight="1">
      <c r="A43" s="27" t="s">
        <v>145</v>
      </c>
      <c r="B43" s="15"/>
      <c r="C43" s="15"/>
      <c r="D43" s="15"/>
      <c r="E43" s="28" t="s">
        <v>712</v>
      </c>
      <c r="F43" s="98"/>
      <c r="G43" s="120">
        <f>G44+G46+G59+G66+G89+G91+G93</f>
        <v>235388660</v>
      </c>
      <c r="H43" s="120"/>
      <c r="I43" s="120">
        <f>I44+I46+I59+I66+I89+I91+I93</f>
        <v>190987147</v>
      </c>
      <c r="J43" s="120">
        <f>J44+J46+J59+J66+J89+J91+J93</f>
        <v>139180380</v>
      </c>
    </row>
    <row r="44" spans="1:10" ht="12.75" hidden="1">
      <c r="A44" s="62" t="s">
        <v>571</v>
      </c>
      <c r="B44" s="62" t="s">
        <v>567</v>
      </c>
      <c r="C44" s="62" t="s">
        <v>833</v>
      </c>
      <c r="D44" s="62"/>
      <c r="E44" s="63" t="s">
        <v>569</v>
      </c>
      <c r="F44" s="98"/>
      <c r="G44" s="120"/>
      <c r="H44" s="120"/>
      <c r="I44" s="120"/>
      <c r="J44" s="120">
        <f>J45</f>
        <v>0</v>
      </c>
    </row>
    <row r="45" spans="1:10" ht="25.5" hidden="1">
      <c r="A45" s="27" t="s">
        <v>0</v>
      </c>
      <c r="B45" s="15" t="s">
        <v>30</v>
      </c>
      <c r="C45" s="27" t="s">
        <v>515</v>
      </c>
      <c r="D45" s="27" t="s">
        <v>476</v>
      </c>
      <c r="E45" s="28" t="s">
        <v>260</v>
      </c>
      <c r="F45" s="98"/>
      <c r="G45" s="120"/>
      <c r="H45" s="95"/>
      <c r="I45" s="120"/>
      <c r="J45" s="120">
        <v>0</v>
      </c>
    </row>
    <row r="46" spans="1:10" ht="12.75">
      <c r="A46" s="62" t="s">
        <v>523</v>
      </c>
      <c r="B46" s="62" t="s">
        <v>522</v>
      </c>
      <c r="C46" s="62" t="s">
        <v>855</v>
      </c>
      <c r="D46" s="62"/>
      <c r="E46" s="63" t="s">
        <v>524</v>
      </c>
      <c r="F46" s="98"/>
      <c r="G46" s="120"/>
      <c r="H46" s="120"/>
      <c r="I46" s="120"/>
      <c r="J46" s="120">
        <f>J47+J48+J49+J50+J51+J52+J53+J54+J55+J56+J57+J58</f>
        <v>47766710</v>
      </c>
    </row>
    <row r="47" spans="1:10" ht="12.75">
      <c r="A47" s="27" t="s">
        <v>147</v>
      </c>
      <c r="B47" s="15" t="s">
        <v>52</v>
      </c>
      <c r="C47" s="27" t="s">
        <v>501</v>
      </c>
      <c r="D47" s="27" t="s">
        <v>480</v>
      </c>
      <c r="E47" s="28" t="s">
        <v>146</v>
      </c>
      <c r="F47" s="126" t="s">
        <v>1110</v>
      </c>
      <c r="G47" s="120"/>
      <c r="H47" s="120"/>
      <c r="I47" s="120"/>
      <c r="J47" s="120">
        <f>'[1]Місто'!$P$51</f>
        <v>23375477</v>
      </c>
    </row>
    <row r="48" spans="1:10" ht="63.75">
      <c r="A48" s="27" t="s">
        <v>148</v>
      </c>
      <c r="B48" s="15" t="s">
        <v>31</v>
      </c>
      <c r="C48" s="27" t="s">
        <v>502</v>
      </c>
      <c r="D48" s="27" t="s">
        <v>481</v>
      </c>
      <c r="E48" s="28" t="s">
        <v>149</v>
      </c>
      <c r="F48" s="126" t="s">
        <v>1110</v>
      </c>
      <c r="G48" s="120"/>
      <c r="H48" s="120"/>
      <c r="I48" s="120"/>
      <c r="J48" s="120">
        <f>'[1]Місто'!$P$53</f>
        <v>18401084</v>
      </c>
    </row>
    <row r="49" spans="1:10" ht="25.5" hidden="1">
      <c r="A49" s="27">
        <v>1011030</v>
      </c>
      <c r="B49" s="15" t="s">
        <v>53</v>
      </c>
      <c r="C49" s="27" t="s">
        <v>498</v>
      </c>
      <c r="D49" s="27" t="s">
        <v>481</v>
      </c>
      <c r="E49" s="79" t="s">
        <v>150</v>
      </c>
      <c r="F49" s="126" t="s">
        <v>1110</v>
      </c>
      <c r="G49" s="120"/>
      <c r="H49" s="120"/>
      <c r="I49" s="120"/>
      <c r="J49" s="120">
        <v>0</v>
      </c>
    </row>
    <row r="50" spans="1:10" s="2" customFormat="1" ht="82.5" customHeight="1">
      <c r="A50" s="5" t="s">
        <v>446</v>
      </c>
      <c r="B50" s="5" t="s">
        <v>54</v>
      </c>
      <c r="C50" s="5" t="s">
        <v>499</v>
      </c>
      <c r="D50" s="5" t="s">
        <v>482</v>
      </c>
      <c r="E50" s="80" t="s">
        <v>151</v>
      </c>
      <c r="F50" s="126" t="s">
        <v>1110</v>
      </c>
      <c r="G50" s="130"/>
      <c r="H50" s="130"/>
      <c r="I50" s="130"/>
      <c r="J50" s="130">
        <f>'[1]Місто'!$P$61</f>
        <v>2894711</v>
      </c>
    </row>
    <row r="51" spans="1:10" ht="36.75" customHeight="1">
      <c r="A51" s="27" t="s">
        <v>447</v>
      </c>
      <c r="B51" s="15" t="s">
        <v>32</v>
      </c>
      <c r="C51" s="27" t="s">
        <v>500</v>
      </c>
      <c r="D51" s="27" t="s">
        <v>483</v>
      </c>
      <c r="E51" s="28" t="s">
        <v>152</v>
      </c>
      <c r="F51" s="126" t="s">
        <v>1110</v>
      </c>
      <c r="G51" s="120"/>
      <c r="H51" s="120"/>
      <c r="I51" s="120"/>
      <c r="J51" s="120">
        <f>'[1]Місто'!$P$65</f>
        <v>1324818</v>
      </c>
    </row>
    <row r="52" spans="1:10" ht="41.25" customHeight="1">
      <c r="A52" s="27" t="s">
        <v>652</v>
      </c>
      <c r="B52" s="27" t="s">
        <v>650</v>
      </c>
      <c r="C52" s="27" t="s">
        <v>856</v>
      </c>
      <c r="D52" s="27" t="s">
        <v>651</v>
      </c>
      <c r="E52" s="28" t="s">
        <v>653</v>
      </c>
      <c r="F52" s="126" t="s">
        <v>1110</v>
      </c>
      <c r="G52" s="120"/>
      <c r="H52" s="120"/>
      <c r="I52" s="120"/>
      <c r="J52" s="120">
        <f>'[1]Місто'!$P$66</f>
        <v>242914</v>
      </c>
    </row>
    <row r="53" spans="1:10" ht="39.75" customHeight="1" hidden="1">
      <c r="A53" s="27" t="s">
        <v>153</v>
      </c>
      <c r="B53" s="15" t="s">
        <v>33</v>
      </c>
      <c r="C53" s="27" t="s">
        <v>857</v>
      </c>
      <c r="D53" s="27" t="s">
        <v>484</v>
      </c>
      <c r="E53" s="28" t="s">
        <v>154</v>
      </c>
      <c r="F53" s="126" t="s">
        <v>1110</v>
      </c>
      <c r="G53" s="120"/>
      <c r="H53" s="120"/>
      <c r="I53" s="120"/>
      <c r="J53" s="120">
        <v>0</v>
      </c>
    </row>
    <row r="54" spans="1:10" ht="54" customHeight="1">
      <c r="A54" s="27" t="s">
        <v>155</v>
      </c>
      <c r="B54" s="15" t="s">
        <v>86</v>
      </c>
      <c r="C54" s="27" t="s">
        <v>858</v>
      </c>
      <c r="D54" s="27" t="s">
        <v>484</v>
      </c>
      <c r="E54" s="25" t="s">
        <v>156</v>
      </c>
      <c r="F54" s="126" t="s">
        <v>1110</v>
      </c>
      <c r="G54" s="120"/>
      <c r="H54" s="120"/>
      <c r="I54" s="120"/>
      <c r="J54" s="120">
        <f>'[1]Місто'!$P$72</f>
        <v>8456</v>
      </c>
    </row>
    <row r="55" spans="1:10" ht="25.5">
      <c r="A55" s="27" t="s">
        <v>157</v>
      </c>
      <c r="B55" s="15" t="s">
        <v>34</v>
      </c>
      <c r="C55" s="27" t="s">
        <v>859</v>
      </c>
      <c r="D55" s="27" t="s">
        <v>484</v>
      </c>
      <c r="E55" s="25" t="s">
        <v>158</v>
      </c>
      <c r="F55" s="126" t="s">
        <v>1110</v>
      </c>
      <c r="G55" s="120"/>
      <c r="H55" s="120"/>
      <c r="I55" s="120"/>
      <c r="J55" s="120">
        <f>'[1]Місто'!$P$73</f>
        <v>1519250</v>
      </c>
    </row>
    <row r="56" spans="1:10" ht="25.5" hidden="1">
      <c r="A56" s="27" t="s">
        <v>159</v>
      </c>
      <c r="B56" s="15" t="s">
        <v>35</v>
      </c>
      <c r="C56" s="27" t="s">
        <v>860</v>
      </c>
      <c r="D56" s="27" t="s">
        <v>484</v>
      </c>
      <c r="E56" s="25" t="s">
        <v>160</v>
      </c>
      <c r="F56" s="98"/>
      <c r="G56" s="120"/>
      <c r="H56" s="120"/>
      <c r="I56" s="120"/>
      <c r="J56" s="120">
        <v>0</v>
      </c>
    </row>
    <row r="57" spans="1:10" ht="15.75" customHeight="1" hidden="1">
      <c r="A57" s="27" t="s">
        <v>161</v>
      </c>
      <c r="B57" s="27" t="s">
        <v>90</v>
      </c>
      <c r="C57" s="27" t="s">
        <v>861</v>
      </c>
      <c r="D57" s="27" t="s">
        <v>484</v>
      </c>
      <c r="E57" s="25" t="s">
        <v>162</v>
      </c>
      <c r="F57" s="98"/>
      <c r="G57" s="120"/>
      <c r="H57" s="120"/>
      <c r="I57" s="120"/>
      <c r="J57" s="120">
        <v>0</v>
      </c>
    </row>
    <row r="58" spans="1:10" ht="58.5" customHeight="1" hidden="1">
      <c r="A58" s="27" t="s">
        <v>448</v>
      </c>
      <c r="B58" s="15" t="s">
        <v>79</v>
      </c>
      <c r="C58" s="27" t="s">
        <v>862</v>
      </c>
      <c r="D58" s="27" t="s">
        <v>484</v>
      </c>
      <c r="E58" s="25" t="s">
        <v>163</v>
      </c>
      <c r="F58" s="98"/>
      <c r="G58" s="120"/>
      <c r="H58" s="120"/>
      <c r="I58" s="120"/>
      <c r="J58" s="120">
        <v>0</v>
      </c>
    </row>
    <row r="59" spans="1:10" ht="31.5" customHeight="1" hidden="1">
      <c r="A59" s="62" t="s">
        <v>526</v>
      </c>
      <c r="B59" s="62" t="s">
        <v>525</v>
      </c>
      <c r="C59" s="62" t="s">
        <v>863</v>
      </c>
      <c r="D59" s="62"/>
      <c r="E59" s="64" t="s">
        <v>527</v>
      </c>
      <c r="F59" s="98"/>
      <c r="G59" s="120"/>
      <c r="H59" s="120"/>
      <c r="I59" s="120"/>
      <c r="J59" s="120">
        <f>J60+J63+J64+J65</f>
        <v>0</v>
      </c>
    </row>
    <row r="60" spans="1:10" ht="30" customHeight="1" hidden="1">
      <c r="A60" s="27" t="s">
        <v>767</v>
      </c>
      <c r="B60" s="27"/>
      <c r="C60" s="27" t="s">
        <v>864</v>
      </c>
      <c r="D60" s="27"/>
      <c r="E60" s="25" t="s">
        <v>768</v>
      </c>
      <c r="F60" s="98"/>
      <c r="G60" s="120"/>
      <c r="H60" s="120"/>
      <c r="I60" s="120"/>
      <c r="J60" s="120">
        <f>J61+J62</f>
        <v>0</v>
      </c>
    </row>
    <row r="61" spans="1:10" ht="27.75" customHeight="1" hidden="1">
      <c r="A61" s="27" t="s">
        <v>314</v>
      </c>
      <c r="B61" s="15" t="s">
        <v>66</v>
      </c>
      <c r="C61" s="27" t="s">
        <v>865</v>
      </c>
      <c r="D61" s="27" t="s">
        <v>485</v>
      </c>
      <c r="E61" s="25" t="s">
        <v>313</v>
      </c>
      <c r="F61" s="98"/>
      <c r="G61" s="120"/>
      <c r="H61" s="120"/>
      <c r="I61" s="120"/>
      <c r="J61" s="120">
        <v>0</v>
      </c>
    </row>
    <row r="62" spans="1:10" ht="26.25" customHeight="1" hidden="1">
      <c r="A62" s="27" t="s">
        <v>315</v>
      </c>
      <c r="B62" s="15" t="s">
        <v>67</v>
      </c>
      <c r="C62" s="27" t="s">
        <v>866</v>
      </c>
      <c r="D62" s="27" t="s">
        <v>485</v>
      </c>
      <c r="E62" s="25" t="s">
        <v>83</v>
      </c>
      <c r="F62" s="98"/>
      <c r="G62" s="120"/>
      <c r="H62" s="120"/>
      <c r="I62" s="120"/>
      <c r="J62" s="120">
        <v>0</v>
      </c>
    </row>
    <row r="63" spans="1:10" ht="30" customHeight="1" hidden="1">
      <c r="A63" s="27" t="s">
        <v>316</v>
      </c>
      <c r="B63" s="15" t="s">
        <v>44</v>
      </c>
      <c r="C63" s="27" t="s">
        <v>867</v>
      </c>
      <c r="D63" s="27" t="s">
        <v>485</v>
      </c>
      <c r="E63" s="25" t="s">
        <v>318</v>
      </c>
      <c r="F63" s="98"/>
      <c r="G63" s="120"/>
      <c r="H63" s="120"/>
      <c r="I63" s="120"/>
      <c r="J63" s="120">
        <v>0</v>
      </c>
    </row>
    <row r="64" spans="1:10" ht="63.75" hidden="1">
      <c r="A64" s="27" t="s">
        <v>317</v>
      </c>
      <c r="B64" s="15" t="s">
        <v>72</v>
      </c>
      <c r="C64" s="27" t="s">
        <v>868</v>
      </c>
      <c r="D64" s="27" t="s">
        <v>485</v>
      </c>
      <c r="E64" s="25" t="s">
        <v>164</v>
      </c>
      <c r="F64" s="98"/>
      <c r="G64" s="120"/>
      <c r="H64" s="120"/>
      <c r="I64" s="120"/>
      <c r="J64" s="120">
        <v>0</v>
      </c>
    </row>
    <row r="65" spans="1:10" ht="30" customHeight="1" hidden="1">
      <c r="A65" s="27" t="s">
        <v>754</v>
      </c>
      <c r="B65" s="27" t="s">
        <v>667</v>
      </c>
      <c r="C65" s="27" t="s">
        <v>869</v>
      </c>
      <c r="D65" s="27" t="s">
        <v>669</v>
      </c>
      <c r="E65" s="25" t="s">
        <v>668</v>
      </c>
      <c r="F65" s="98"/>
      <c r="G65" s="120"/>
      <c r="H65" s="120"/>
      <c r="I65" s="120"/>
      <c r="J65" s="120">
        <v>0</v>
      </c>
    </row>
    <row r="66" spans="1:12" ht="12.75">
      <c r="A66" s="62" t="s">
        <v>531</v>
      </c>
      <c r="B66" s="62" t="s">
        <v>530</v>
      </c>
      <c r="C66" s="62" t="s">
        <v>838</v>
      </c>
      <c r="D66" s="62"/>
      <c r="E66" s="64" t="s">
        <v>533</v>
      </c>
      <c r="F66" s="98"/>
      <c r="G66" s="120">
        <f>G67+G72+G86+G87</f>
        <v>235388660</v>
      </c>
      <c r="H66" s="120"/>
      <c r="I66" s="120">
        <f>I67+I72+I86+I87</f>
        <v>190987147</v>
      </c>
      <c r="J66" s="120">
        <f>J67+J72+J86+J87</f>
        <v>91413670</v>
      </c>
      <c r="L66" s="123"/>
    </row>
    <row r="67" spans="1:12" s="20" customFormat="1" ht="25.5">
      <c r="A67" s="77" t="s">
        <v>167</v>
      </c>
      <c r="B67" s="77" t="s">
        <v>63</v>
      </c>
      <c r="C67" s="77" t="s">
        <v>839</v>
      </c>
      <c r="D67" s="77" t="s">
        <v>478</v>
      </c>
      <c r="E67" s="140" t="s">
        <v>140</v>
      </c>
      <c r="F67" s="103"/>
      <c r="G67" s="141">
        <f>SUM(G69:G71)</f>
        <v>69106808</v>
      </c>
      <c r="H67" s="163"/>
      <c r="I67" s="141">
        <f>SUM(I69:I71)</f>
        <v>31657995</v>
      </c>
      <c r="J67" s="141">
        <f>SUM(J69:J71)</f>
        <v>14976064</v>
      </c>
      <c r="K67" s="124">
        <f>J67-'[1]Місто'!$P$85</f>
        <v>0</v>
      </c>
      <c r="L67" s="124"/>
    </row>
    <row r="68" spans="1:10" s="78" customFormat="1" ht="59.25" customHeight="1" hidden="1">
      <c r="A68" s="27" t="s">
        <v>167</v>
      </c>
      <c r="B68" s="77"/>
      <c r="C68" s="77"/>
      <c r="D68" s="77"/>
      <c r="E68" s="75" t="s">
        <v>748</v>
      </c>
      <c r="F68" s="103"/>
      <c r="G68" s="141"/>
      <c r="H68" s="163"/>
      <c r="I68" s="141"/>
      <c r="J68" s="141"/>
    </row>
    <row r="69" spans="1:13" s="116" customFormat="1" ht="33.75" customHeight="1">
      <c r="A69" s="27" t="s">
        <v>167</v>
      </c>
      <c r="B69" s="15">
        <v>150101</v>
      </c>
      <c r="C69" s="27">
        <v>6310</v>
      </c>
      <c r="D69" s="27" t="s">
        <v>478</v>
      </c>
      <c r="E69" s="25" t="s">
        <v>140</v>
      </c>
      <c r="F69" s="25" t="s">
        <v>1236</v>
      </c>
      <c r="G69" s="119">
        <v>20813021</v>
      </c>
      <c r="H69" s="164">
        <f>100-(I69/G69*100)</f>
        <v>24.517939995351952</v>
      </c>
      <c r="I69" s="119">
        <v>15710097</v>
      </c>
      <c r="J69" s="119">
        <v>6051317</v>
      </c>
      <c r="K69" s="115"/>
      <c r="M69" s="115"/>
    </row>
    <row r="70" spans="1:13" s="116" customFormat="1" ht="33.75" customHeight="1">
      <c r="A70" s="27" t="s">
        <v>167</v>
      </c>
      <c r="B70" s="15">
        <v>150101</v>
      </c>
      <c r="C70" s="27">
        <v>6310</v>
      </c>
      <c r="D70" s="27" t="s">
        <v>478</v>
      </c>
      <c r="E70" s="25" t="s">
        <v>140</v>
      </c>
      <c r="F70" s="25" t="s">
        <v>1369</v>
      </c>
      <c r="G70" s="119">
        <v>16675810</v>
      </c>
      <c r="H70" s="164">
        <f>100-(I70/G70*100)</f>
        <v>70.27080543613774</v>
      </c>
      <c r="I70" s="119">
        <v>4957584</v>
      </c>
      <c r="J70" s="119">
        <v>1100000</v>
      </c>
      <c r="K70" s="115"/>
      <c r="M70" s="115"/>
    </row>
    <row r="71" spans="1:13" s="114" customFormat="1" ht="26.25">
      <c r="A71" s="27" t="s">
        <v>167</v>
      </c>
      <c r="B71" s="15">
        <v>150101</v>
      </c>
      <c r="C71" s="27">
        <v>6310</v>
      </c>
      <c r="D71" s="27" t="s">
        <v>478</v>
      </c>
      <c r="E71" s="25" t="s">
        <v>140</v>
      </c>
      <c r="F71" s="25" t="s">
        <v>967</v>
      </c>
      <c r="G71" s="119">
        <v>31617977</v>
      </c>
      <c r="H71" s="164">
        <f aca="true" t="shared" si="0" ref="H71:H88">100-(I71/G71*100)</f>
        <v>65.24029984587565</v>
      </c>
      <c r="I71" s="119">
        <v>10990314</v>
      </c>
      <c r="J71" s="119">
        <v>7824747</v>
      </c>
      <c r="K71" s="113"/>
      <c r="M71" s="113"/>
    </row>
    <row r="72" spans="1:11" s="20" customFormat="1" ht="39.75" customHeight="1">
      <c r="A72" s="77" t="s">
        <v>639</v>
      </c>
      <c r="B72" s="77" t="s">
        <v>637</v>
      </c>
      <c r="C72" s="77" t="s">
        <v>870</v>
      </c>
      <c r="D72" s="77" t="s">
        <v>481</v>
      </c>
      <c r="E72" s="140" t="s">
        <v>642</v>
      </c>
      <c r="F72" s="103"/>
      <c r="G72" s="141">
        <f>SUM(G73:G85)</f>
        <v>119535816</v>
      </c>
      <c r="H72" s="163"/>
      <c r="I72" s="141">
        <f>SUM(I73:I85)</f>
        <v>114138782</v>
      </c>
      <c r="J72" s="141">
        <f>SUM(J73:J85)</f>
        <v>74090141</v>
      </c>
      <c r="K72" s="124">
        <f>J72-'[1]Місто'!$P$87</f>
        <v>0</v>
      </c>
    </row>
    <row r="73" spans="1:13" s="116" customFormat="1" ht="39">
      <c r="A73" s="27" t="s">
        <v>639</v>
      </c>
      <c r="B73" s="27" t="s">
        <v>637</v>
      </c>
      <c r="C73" s="27" t="s">
        <v>870</v>
      </c>
      <c r="D73" s="27" t="s">
        <v>481</v>
      </c>
      <c r="E73" s="25" t="s">
        <v>642</v>
      </c>
      <c r="F73" s="25" t="s">
        <v>1235</v>
      </c>
      <c r="G73" s="119">
        <v>9921756</v>
      </c>
      <c r="H73" s="164">
        <f t="shared" si="0"/>
        <v>3.1828942376732527</v>
      </c>
      <c r="I73" s="119">
        <v>9605957</v>
      </c>
      <c r="J73" s="119">
        <v>9605957</v>
      </c>
      <c r="K73" s="115"/>
      <c r="M73" s="115"/>
    </row>
    <row r="74" spans="1:13" s="116" customFormat="1" ht="39">
      <c r="A74" s="27" t="s">
        <v>639</v>
      </c>
      <c r="B74" s="27" t="s">
        <v>637</v>
      </c>
      <c r="C74" s="27" t="s">
        <v>870</v>
      </c>
      <c r="D74" s="27" t="s">
        <v>481</v>
      </c>
      <c r="E74" s="25" t="s">
        <v>642</v>
      </c>
      <c r="F74" s="25" t="s">
        <v>1234</v>
      </c>
      <c r="G74" s="119">
        <v>7290449</v>
      </c>
      <c r="H74" s="164">
        <f t="shared" si="0"/>
        <v>1.4813902408479862</v>
      </c>
      <c r="I74" s="119">
        <v>7182449</v>
      </c>
      <c r="J74" s="119">
        <v>7182449</v>
      </c>
      <c r="K74" s="115"/>
      <c r="M74" s="115"/>
    </row>
    <row r="75" spans="1:13" s="116" customFormat="1" ht="39">
      <c r="A75" s="27" t="s">
        <v>639</v>
      </c>
      <c r="B75" s="27" t="s">
        <v>637</v>
      </c>
      <c r="C75" s="27" t="s">
        <v>870</v>
      </c>
      <c r="D75" s="27" t="s">
        <v>481</v>
      </c>
      <c r="E75" s="25" t="s">
        <v>642</v>
      </c>
      <c r="F75" s="25" t="s">
        <v>1233</v>
      </c>
      <c r="G75" s="119">
        <v>10012013</v>
      </c>
      <c r="H75" s="164">
        <f t="shared" si="0"/>
        <v>1.0787041527013628</v>
      </c>
      <c r="I75" s="119">
        <v>9904013</v>
      </c>
      <c r="J75" s="119">
        <v>9892271</v>
      </c>
      <c r="K75" s="115"/>
      <c r="M75" s="115"/>
    </row>
    <row r="76" spans="1:13" s="116" customFormat="1" ht="39">
      <c r="A76" s="27" t="s">
        <v>639</v>
      </c>
      <c r="B76" s="27" t="s">
        <v>637</v>
      </c>
      <c r="C76" s="27" t="s">
        <v>870</v>
      </c>
      <c r="D76" s="27" t="s">
        <v>481</v>
      </c>
      <c r="E76" s="25" t="s">
        <v>642</v>
      </c>
      <c r="F76" s="25" t="s">
        <v>968</v>
      </c>
      <c r="G76" s="119">
        <v>9498329</v>
      </c>
      <c r="H76" s="164">
        <f t="shared" si="0"/>
        <v>1.2595583917971283</v>
      </c>
      <c r="I76" s="119">
        <v>9378692</v>
      </c>
      <c r="J76" s="119">
        <v>9377522</v>
      </c>
      <c r="K76" s="115"/>
      <c r="M76" s="115"/>
    </row>
    <row r="77" spans="1:13" s="116" customFormat="1" ht="39">
      <c r="A77" s="27" t="s">
        <v>639</v>
      </c>
      <c r="B77" s="27" t="s">
        <v>637</v>
      </c>
      <c r="C77" s="27" t="s">
        <v>870</v>
      </c>
      <c r="D77" s="27" t="s">
        <v>481</v>
      </c>
      <c r="E77" s="25" t="s">
        <v>642</v>
      </c>
      <c r="F77" s="25" t="s">
        <v>969</v>
      </c>
      <c r="G77" s="119">
        <v>10159577</v>
      </c>
      <c r="H77" s="164">
        <f t="shared" si="0"/>
        <v>1.1270055830080281</v>
      </c>
      <c r="I77" s="119">
        <v>10045078</v>
      </c>
      <c r="J77" s="119">
        <v>9995712</v>
      </c>
      <c r="K77" s="115"/>
      <c r="M77" s="115"/>
    </row>
    <row r="78" spans="1:13" s="116" customFormat="1" ht="39">
      <c r="A78" s="27" t="s">
        <v>639</v>
      </c>
      <c r="B78" s="27" t="s">
        <v>637</v>
      </c>
      <c r="C78" s="27" t="s">
        <v>870</v>
      </c>
      <c r="D78" s="27" t="s">
        <v>481</v>
      </c>
      <c r="E78" s="25" t="s">
        <v>642</v>
      </c>
      <c r="F78" s="25" t="s">
        <v>970</v>
      </c>
      <c r="G78" s="119">
        <v>9603203</v>
      </c>
      <c r="H78" s="164">
        <f t="shared" si="0"/>
        <v>1.2782297739618684</v>
      </c>
      <c r="I78" s="119">
        <v>9480452</v>
      </c>
      <c r="J78" s="119">
        <v>9480452</v>
      </c>
      <c r="K78" s="115"/>
      <c r="M78" s="115"/>
    </row>
    <row r="79" spans="1:13" s="116" customFormat="1" ht="39">
      <c r="A79" s="27" t="s">
        <v>639</v>
      </c>
      <c r="B79" s="27" t="s">
        <v>637</v>
      </c>
      <c r="C79" s="27" t="s">
        <v>870</v>
      </c>
      <c r="D79" s="27" t="s">
        <v>481</v>
      </c>
      <c r="E79" s="25" t="s">
        <v>642</v>
      </c>
      <c r="F79" s="25" t="s">
        <v>1232</v>
      </c>
      <c r="G79" s="119">
        <v>9571468</v>
      </c>
      <c r="H79" s="164">
        <f t="shared" si="0"/>
        <v>1.2863126116077552</v>
      </c>
      <c r="I79" s="119">
        <v>9448349</v>
      </c>
      <c r="J79" s="119">
        <v>9448349</v>
      </c>
      <c r="K79" s="115"/>
      <c r="M79" s="115"/>
    </row>
    <row r="80" spans="1:13" s="116" customFormat="1" ht="39">
      <c r="A80" s="27" t="s">
        <v>639</v>
      </c>
      <c r="B80" s="27" t="s">
        <v>637</v>
      </c>
      <c r="C80" s="27" t="s">
        <v>870</v>
      </c>
      <c r="D80" s="27" t="s">
        <v>481</v>
      </c>
      <c r="E80" s="25" t="s">
        <v>642</v>
      </c>
      <c r="F80" s="25" t="s">
        <v>1231</v>
      </c>
      <c r="G80" s="119">
        <v>4129386</v>
      </c>
      <c r="H80" s="164">
        <f t="shared" si="0"/>
        <v>3.9297367695826892</v>
      </c>
      <c r="I80" s="119">
        <v>3967112</v>
      </c>
      <c r="J80" s="119">
        <v>1370000</v>
      </c>
      <c r="K80" s="115"/>
      <c r="M80" s="115"/>
    </row>
    <row r="81" spans="1:13" s="116" customFormat="1" ht="39" hidden="1">
      <c r="A81" s="27" t="s">
        <v>639</v>
      </c>
      <c r="B81" s="27" t="s">
        <v>637</v>
      </c>
      <c r="C81" s="27" t="s">
        <v>870</v>
      </c>
      <c r="D81" s="27" t="s">
        <v>481</v>
      </c>
      <c r="E81" s="25" t="s">
        <v>642</v>
      </c>
      <c r="F81" s="25" t="s">
        <v>971</v>
      </c>
      <c r="G81" s="119"/>
      <c r="H81" s="164" t="e">
        <f t="shared" si="0"/>
        <v>#DIV/0!</v>
      </c>
      <c r="I81" s="119"/>
      <c r="J81" s="119"/>
      <c r="K81" s="115"/>
      <c r="M81" s="115"/>
    </row>
    <row r="82" spans="1:13" s="116" customFormat="1" ht="39">
      <c r="A82" s="27" t="s">
        <v>639</v>
      </c>
      <c r="B82" s="27" t="s">
        <v>637</v>
      </c>
      <c r="C82" s="27" t="s">
        <v>870</v>
      </c>
      <c r="D82" s="27" t="s">
        <v>481</v>
      </c>
      <c r="E82" s="25" t="s">
        <v>642</v>
      </c>
      <c r="F82" s="25" t="s">
        <v>1327</v>
      </c>
      <c r="G82" s="119">
        <v>613020</v>
      </c>
      <c r="H82" s="164">
        <f t="shared" si="0"/>
        <v>23.421748066947245</v>
      </c>
      <c r="I82" s="119">
        <v>469440</v>
      </c>
      <c r="J82" s="119">
        <v>469440</v>
      </c>
      <c r="K82" s="115"/>
      <c r="M82" s="115"/>
    </row>
    <row r="83" spans="1:13" s="116" customFormat="1" ht="39">
      <c r="A83" s="27" t="s">
        <v>639</v>
      </c>
      <c r="B83" s="27" t="s">
        <v>637</v>
      </c>
      <c r="C83" s="27" t="s">
        <v>870</v>
      </c>
      <c r="D83" s="27" t="s">
        <v>481</v>
      </c>
      <c r="E83" s="25" t="s">
        <v>642</v>
      </c>
      <c r="F83" s="25" t="s">
        <v>1326</v>
      </c>
      <c r="G83" s="119">
        <v>25803136</v>
      </c>
      <c r="H83" s="164">
        <f t="shared" si="0"/>
        <v>3.870444274680409</v>
      </c>
      <c r="I83" s="119">
        <v>24804440</v>
      </c>
      <c r="J83" s="119">
        <v>5500000</v>
      </c>
      <c r="K83" s="115"/>
      <c r="M83" s="115"/>
    </row>
    <row r="84" spans="1:13" s="116" customFormat="1" ht="39">
      <c r="A84" s="27" t="s">
        <v>639</v>
      </c>
      <c r="B84" s="27" t="s">
        <v>637</v>
      </c>
      <c r="C84" s="27" t="s">
        <v>870</v>
      </c>
      <c r="D84" s="27" t="s">
        <v>481</v>
      </c>
      <c r="E84" s="25" t="s">
        <v>642</v>
      </c>
      <c r="F84" s="25" t="s">
        <v>1114</v>
      </c>
      <c r="G84" s="119">
        <v>2399083</v>
      </c>
      <c r="H84" s="164">
        <f t="shared" si="0"/>
        <v>35.04584876805012</v>
      </c>
      <c r="I84" s="119">
        <v>1558304</v>
      </c>
      <c r="J84" s="119">
        <v>903483</v>
      </c>
      <c r="K84" s="115"/>
      <c r="M84" s="115"/>
    </row>
    <row r="85" spans="1:13" s="116" customFormat="1" ht="39">
      <c r="A85" s="27" t="s">
        <v>639</v>
      </c>
      <c r="B85" s="27" t="s">
        <v>637</v>
      </c>
      <c r="C85" s="27" t="s">
        <v>870</v>
      </c>
      <c r="D85" s="27" t="s">
        <v>481</v>
      </c>
      <c r="E85" s="25" t="s">
        <v>642</v>
      </c>
      <c r="F85" s="25" t="s">
        <v>1230</v>
      </c>
      <c r="G85" s="119">
        <v>20534396</v>
      </c>
      <c r="H85" s="164">
        <f t="shared" si="0"/>
        <v>10.908039369650808</v>
      </c>
      <c r="I85" s="119">
        <v>18294496</v>
      </c>
      <c r="J85" s="119">
        <f>817411+47095</f>
        <v>864506</v>
      </c>
      <c r="K85" s="115"/>
      <c r="M85" s="115"/>
    </row>
    <row r="86" spans="1:10" s="20" customFormat="1" ht="38.25" hidden="1">
      <c r="A86" s="27" t="s">
        <v>648</v>
      </c>
      <c r="B86" s="27" t="s">
        <v>647</v>
      </c>
      <c r="C86" s="27" t="s">
        <v>871</v>
      </c>
      <c r="D86" s="27" t="s">
        <v>482</v>
      </c>
      <c r="E86" s="25" t="s">
        <v>649</v>
      </c>
      <c r="F86" s="100"/>
      <c r="G86" s="119"/>
      <c r="H86" s="164" t="e">
        <f t="shared" si="0"/>
        <v>#DIV/0!</v>
      </c>
      <c r="I86" s="119"/>
      <c r="J86" s="119"/>
    </row>
    <row r="87" spans="1:11" s="20" customFormat="1" ht="38.25" customHeight="1">
      <c r="A87" s="77" t="s">
        <v>640</v>
      </c>
      <c r="B87" s="77" t="s">
        <v>638</v>
      </c>
      <c r="C87" s="77" t="s">
        <v>872</v>
      </c>
      <c r="D87" s="77" t="s">
        <v>483</v>
      </c>
      <c r="E87" s="140" t="s">
        <v>641</v>
      </c>
      <c r="F87" s="103"/>
      <c r="G87" s="141">
        <f>SUM(G88:G88)</f>
        <v>46746036</v>
      </c>
      <c r="H87" s="163"/>
      <c r="I87" s="141">
        <f>SUM(I88:I88)</f>
        <v>45190370</v>
      </c>
      <c r="J87" s="141">
        <f>SUM(J88:J88)</f>
        <v>2347465</v>
      </c>
      <c r="K87" s="124">
        <f>J87-'[1]Місто'!$P$89</f>
        <v>0</v>
      </c>
    </row>
    <row r="88" spans="1:11" s="20" customFormat="1" ht="38.25">
      <c r="A88" s="27" t="s">
        <v>640</v>
      </c>
      <c r="B88" s="27" t="s">
        <v>638</v>
      </c>
      <c r="C88" s="27" t="s">
        <v>872</v>
      </c>
      <c r="D88" s="27" t="s">
        <v>483</v>
      </c>
      <c r="E88" s="25" t="s">
        <v>641</v>
      </c>
      <c r="F88" s="25" t="s">
        <v>1229</v>
      </c>
      <c r="G88" s="119">
        <v>46746036</v>
      </c>
      <c r="H88" s="164">
        <f t="shared" si="0"/>
        <v>3.3279099857793284</v>
      </c>
      <c r="I88" s="119">
        <v>45190370</v>
      </c>
      <c r="J88" s="119">
        <v>2347465</v>
      </c>
      <c r="K88" s="122"/>
    </row>
    <row r="89" spans="1:10" s="20" customFormat="1" ht="25.5" hidden="1">
      <c r="A89" s="51" t="s">
        <v>428</v>
      </c>
      <c r="B89" s="51" t="s">
        <v>427</v>
      </c>
      <c r="C89" s="51" t="s">
        <v>873</v>
      </c>
      <c r="D89" s="51"/>
      <c r="E89" s="55" t="s">
        <v>429</v>
      </c>
      <c r="F89" s="100"/>
      <c r="G89" s="119"/>
      <c r="H89" s="164"/>
      <c r="I89" s="119"/>
      <c r="J89" s="119">
        <f>J90</f>
        <v>0</v>
      </c>
    </row>
    <row r="90" spans="1:10" s="20" customFormat="1" ht="12.75" hidden="1">
      <c r="A90" s="29" t="s">
        <v>430</v>
      </c>
      <c r="B90" s="29" t="s">
        <v>427</v>
      </c>
      <c r="C90" s="29" t="s">
        <v>874</v>
      </c>
      <c r="D90" s="29" t="s">
        <v>487</v>
      </c>
      <c r="E90" s="44" t="s">
        <v>431</v>
      </c>
      <c r="F90" s="100"/>
      <c r="G90" s="119"/>
      <c r="H90" s="164"/>
      <c r="I90" s="119"/>
      <c r="J90" s="119">
        <v>0</v>
      </c>
    </row>
    <row r="91" spans="1:10" s="20" customFormat="1" ht="12.75" hidden="1">
      <c r="A91" s="56" t="s">
        <v>449</v>
      </c>
      <c r="B91" s="56" t="s">
        <v>444</v>
      </c>
      <c r="C91" s="56" t="s">
        <v>875</v>
      </c>
      <c r="D91" s="56"/>
      <c r="E91" s="81" t="s">
        <v>445</v>
      </c>
      <c r="F91" s="100"/>
      <c r="G91" s="119"/>
      <c r="H91" s="164"/>
      <c r="I91" s="119"/>
      <c r="J91" s="119">
        <f>J92</f>
        <v>0</v>
      </c>
    </row>
    <row r="92" spans="1:10" s="20" customFormat="1" ht="12.75" hidden="1">
      <c r="A92" s="29" t="s">
        <v>470</v>
      </c>
      <c r="B92" s="29" t="s">
        <v>444</v>
      </c>
      <c r="C92" s="29" t="s">
        <v>876</v>
      </c>
      <c r="D92" s="29" t="s">
        <v>488</v>
      </c>
      <c r="E92" s="44" t="s">
        <v>472</v>
      </c>
      <c r="F92" s="100"/>
      <c r="G92" s="119"/>
      <c r="H92" s="164"/>
      <c r="I92" s="119"/>
      <c r="J92" s="119">
        <v>0</v>
      </c>
    </row>
    <row r="93" spans="1:10" ht="12.75" hidden="1">
      <c r="A93" s="62" t="s">
        <v>534</v>
      </c>
      <c r="B93" s="62" t="s">
        <v>535</v>
      </c>
      <c r="C93" s="62" t="s">
        <v>843</v>
      </c>
      <c r="D93" s="62"/>
      <c r="E93" s="64" t="s">
        <v>536</v>
      </c>
      <c r="F93" s="98"/>
      <c r="G93" s="120"/>
      <c r="H93" s="165"/>
      <c r="I93" s="120"/>
      <c r="J93" s="120">
        <f>J94</f>
        <v>0</v>
      </c>
    </row>
    <row r="94" spans="1:10" ht="38.25" hidden="1">
      <c r="A94" s="27" t="s">
        <v>769</v>
      </c>
      <c r="B94" s="62"/>
      <c r="C94" s="62" t="s">
        <v>877</v>
      </c>
      <c r="D94" s="62"/>
      <c r="E94" s="64" t="s">
        <v>770</v>
      </c>
      <c r="F94" s="98"/>
      <c r="G94" s="120"/>
      <c r="H94" s="165"/>
      <c r="I94" s="120"/>
      <c r="J94" s="120">
        <f>J95</f>
        <v>0</v>
      </c>
    </row>
    <row r="95" spans="1:10" ht="51" hidden="1">
      <c r="A95" s="27" t="s">
        <v>464</v>
      </c>
      <c r="B95" s="27" t="s">
        <v>415</v>
      </c>
      <c r="C95" s="27" t="s">
        <v>878</v>
      </c>
      <c r="D95" s="27" t="s">
        <v>490</v>
      </c>
      <c r="E95" s="43" t="s">
        <v>416</v>
      </c>
      <c r="F95" s="98"/>
      <c r="G95" s="120"/>
      <c r="H95" s="165"/>
      <c r="I95" s="120"/>
      <c r="J95" s="120">
        <v>0</v>
      </c>
    </row>
    <row r="96" spans="1:12" ht="25.5">
      <c r="A96" s="31" t="s">
        <v>718</v>
      </c>
      <c r="B96" s="31" t="s">
        <v>717</v>
      </c>
      <c r="C96" s="31" t="s">
        <v>717</v>
      </c>
      <c r="D96" s="31"/>
      <c r="E96" s="30" t="s">
        <v>679</v>
      </c>
      <c r="F96" s="30"/>
      <c r="G96" s="150">
        <f>G97</f>
        <v>2489005</v>
      </c>
      <c r="H96" s="166"/>
      <c r="I96" s="150">
        <f>I97</f>
        <v>1950524</v>
      </c>
      <c r="J96" s="150">
        <f>J97</f>
        <v>12325014</v>
      </c>
      <c r="L96" s="122">
        <f>J96-'[1]Місто'!$P$101</f>
        <v>0</v>
      </c>
    </row>
    <row r="97" spans="1:10" ht="25.5">
      <c r="A97" s="29" t="s">
        <v>719</v>
      </c>
      <c r="B97" s="18"/>
      <c r="C97" s="18"/>
      <c r="D97" s="18"/>
      <c r="E97" s="28" t="s">
        <v>679</v>
      </c>
      <c r="F97" s="98"/>
      <c r="G97" s="120">
        <f>G98+G100+G102+G113+G117</f>
        <v>2489005</v>
      </c>
      <c r="H97" s="165"/>
      <c r="I97" s="120">
        <f>I98+I100+I102+I113+I117</f>
        <v>1950524</v>
      </c>
      <c r="J97" s="120">
        <f>J102+J113+J117</f>
        <v>12325014</v>
      </c>
    </row>
    <row r="98" spans="1:10" ht="12.75" hidden="1">
      <c r="A98" s="62" t="s">
        <v>720</v>
      </c>
      <c r="B98" s="61" t="s">
        <v>567</v>
      </c>
      <c r="C98" s="61" t="s">
        <v>833</v>
      </c>
      <c r="D98" s="61"/>
      <c r="E98" s="72" t="s">
        <v>569</v>
      </c>
      <c r="F98" s="98"/>
      <c r="G98" s="120"/>
      <c r="H98" s="165"/>
      <c r="I98" s="120"/>
      <c r="J98" s="120">
        <f>J99</f>
        <v>0</v>
      </c>
    </row>
    <row r="99" spans="1:10" ht="25.5" hidden="1">
      <c r="A99" s="27" t="s">
        <v>721</v>
      </c>
      <c r="B99" s="15" t="s">
        <v>30</v>
      </c>
      <c r="C99" s="27" t="s">
        <v>515</v>
      </c>
      <c r="D99" s="27" t="s">
        <v>476</v>
      </c>
      <c r="E99" s="28" t="s">
        <v>765</v>
      </c>
      <c r="F99" s="98"/>
      <c r="G99" s="120"/>
      <c r="H99" s="167" t="e">
        <f>100-(I99/G99*100)</f>
        <v>#DIV/0!</v>
      </c>
      <c r="I99" s="120"/>
      <c r="J99" s="120">
        <v>0</v>
      </c>
    </row>
    <row r="100" spans="1:10" ht="12.75" hidden="1">
      <c r="A100" s="62" t="s">
        <v>722</v>
      </c>
      <c r="B100" s="62" t="s">
        <v>525</v>
      </c>
      <c r="C100" s="62" t="s">
        <v>863</v>
      </c>
      <c r="D100" s="62"/>
      <c r="E100" s="64" t="s">
        <v>527</v>
      </c>
      <c r="F100" s="98"/>
      <c r="G100" s="120"/>
      <c r="H100" s="165"/>
      <c r="I100" s="120"/>
      <c r="J100" s="120">
        <f>J101</f>
        <v>0</v>
      </c>
    </row>
    <row r="101" spans="1:10" ht="12.75" hidden="1">
      <c r="A101" s="27" t="s">
        <v>723</v>
      </c>
      <c r="B101" s="15" t="s">
        <v>44</v>
      </c>
      <c r="C101" s="27" t="s">
        <v>867</v>
      </c>
      <c r="D101" s="27" t="s">
        <v>485</v>
      </c>
      <c r="E101" s="25" t="s">
        <v>318</v>
      </c>
      <c r="F101" s="98"/>
      <c r="G101" s="120"/>
      <c r="H101" s="165"/>
      <c r="I101" s="120"/>
      <c r="J101" s="120">
        <v>0</v>
      </c>
    </row>
    <row r="102" spans="1:10" ht="12.75">
      <c r="A102" s="62" t="s">
        <v>724</v>
      </c>
      <c r="B102" s="27" t="s">
        <v>528</v>
      </c>
      <c r="C102" s="27" t="s">
        <v>879</v>
      </c>
      <c r="D102" s="27"/>
      <c r="E102" s="64" t="s">
        <v>529</v>
      </c>
      <c r="F102" s="98"/>
      <c r="G102" s="120"/>
      <c r="H102" s="165"/>
      <c r="I102" s="120"/>
      <c r="J102" s="120">
        <f>J103+J106+J108+J110+J111</f>
        <v>12275014</v>
      </c>
    </row>
    <row r="103" spans="1:10" ht="12.75" hidden="1">
      <c r="A103" s="62" t="s">
        <v>725</v>
      </c>
      <c r="B103" s="62"/>
      <c r="C103" s="62" t="s">
        <v>880</v>
      </c>
      <c r="D103" s="62"/>
      <c r="E103" s="64" t="s">
        <v>643</v>
      </c>
      <c r="F103" s="98"/>
      <c r="G103" s="120"/>
      <c r="H103" s="165"/>
      <c r="I103" s="120"/>
      <c r="J103" s="120">
        <f>J104+J105</f>
        <v>0</v>
      </c>
    </row>
    <row r="104" spans="1:10" ht="25.5" hidden="1">
      <c r="A104" s="27" t="s">
        <v>726</v>
      </c>
      <c r="B104" s="15">
        <v>130102</v>
      </c>
      <c r="C104" s="27" t="s">
        <v>881</v>
      </c>
      <c r="D104" s="27" t="s">
        <v>486</v>
      </c>
      <c r="E104" s="25" t="s">
        <v>165</v>
      </c>
      <c r="F104" s="98"/>
      <c r="G104" s="120"/>
      <c r="H104" s="165"/>
      <c r="I104" s="120"/>
      <c r="J104" s="120">
        <v>0</v>
      </c>
    </row>
    <row r="105" spans="1:10" ht="25.5" hidden="1">
      <c r="A105" s="27" t="s">
        <v>727</v>
      </c>
      <c r="B105" s="27" t="s">
        <v>387</v>
      </c>
      <c r="C105" s="27" t="s">
        <v>882</v>
      </c>
      <c r="D105" s="27" t="s">
        <v>486</v>
      </c>
      <c r="E105" s="25" t="s">
        <v>388</v>
      </c>
      <c r="F105" s="98"/>
      <c r="G105" s="120"/>
      <c r="H105" s="165"/>
      <c r="I105" s="120"/>
      <c r="J105" s="120">
        <v>0</v>
      </c>
    </row>
    <row r="106" spans="1:10" ht="25.5">
      <c r="A106" s="62" t="s">
        <v>1245</v>
      </c>
      <c r="B106" s="62"/>
      <c r="C106" s="62" t="s">
        <v>1246</v>
      </c>
      <c r="D106" s="62"/>
      <c r="E106" s="64" t="s">
        <v>1261</v>
      </c>
      <c r="F106" s="98"/>
      <c r="G106" s="120"/>
      <c r="H106" s="165"/>
      <c r="I106" s="120"/>
      <c r="J106" s="120">
        <f>J107</f>
        <v>4774184</v>
      </c>
    </row>
    <row r="107" spans="1:10" ht="25.5">
      <c r="A107" s="27" t="s">
        <v>1247</v>
      </c>
      <c r="B107" s="15">
        <v>130107</v>
      </c>
      <c r="C107" s="27" t="s">
        <v>1248</v>
      </c>
      <c r="D107" s="27" t="s">
        <v>486</v>
      </c>
      <c r="E107" s="25" t="s">
        <v>323</v>
      </c>
      <c r="F107" s="126" t="s">
        <v>1110</v>
      </c>
      <c r="G107" s="120"/>
      <c r="H107" s="165"/>
      <c r="I107" s="120"/>
      <c r="J107" s="120">
        <f>'[1]Місто'!$P$115</f>
        <v>4774184</v>
      </c>
    </row>
    <row r="108" spans="1:10" ht="12.75">
      <c r="A108" s="62" t="s">
        <v>1251</v>
      </c>
      <c r="B108" s="62"/>
      <c r="C108" s="62" t="s">
        <v>1252</v>
      </c>
      <c r="D108" s="62"/>
      <c r="E108" s="64" t="s">
        <v>1253</v>
      </c>
      <c r="F108" s="98"/>
      <c r="G108" s="120"/>
      <c r="H108" s="165"/>
      <c r="I108" s="120"/>
      <c r="J108" s="120">
        <f>J109</f>
        <v>7500830</v>
      </c>
    </row>
    <row r="109" spans="1:10" ht="12.75">
      <c r="A109" s="27" t="s">
        <v>1249</v>
      </c>
      <c r="B109" s="15">
        <v>130110</v>
      </c>
      <c r="C109" s="27" t="s">
        <v>1250</v>
      </c>
      <c r="D109" s="27" t="s">
        <v>486</v>
      </c>
      <c r="E109" s="25" t="s">
        <v>1262</v>
      </c>
      <c r="F109" s="126" t="s">
        <v>1110</v>
      </c>
      <c r="G109" s="120"/>
      <c r="H109" s="165"/>
      <c r="I109" s="120"/>
      <c r="J109" s="120">
        <f>'[1]Місто'!$P$117</f>
        <v>7500830</v>
      </c>
    </row>
    <row r="110" spans="1:10" ht="25.5" hidden="1">
      <c r="A110" s="27" t="s">
        <v>730</v>
      </c>
      <c r="B110" s="27" t="s">
        <v>711</v>
      </c>
      <c r="C110" s="27" t="s">
        <v>883</v>
      </c>
      <c r="D110" s="27" t="s">
        <v>486</v>
      </c>
      <c r="E110" s="28" t="s">
        <v>713</v>
      </c>
      <c r="F110" s="98"/>
      <c r="G110" s="120"/>
      <c r="H110" s="165"/>
      <c r="I110" s="120"/>
      <c r="J110" s="120">
        <v>0</v>
      </c>
    </row>
    <row r="111" spans="1:10" ht="12.75" hidden="1">
      <c r="A111" s="45" t="s">
        <v>728</v>
      </c>
      <c r="B111" s="45" t="s">
        <v>64</v>
      </c>
      <c r="C111" s="45" t="s">
        <v>884</v>
      </c>
      <c r="D111" s="45"/>
      <c r="E111" s="47" t="s">
        <v>350</v>
      </c>
      <c r="F111" s="98"/>
      <c r="G111" s="120"/>
      <c r="H111" s="165"/>
      <c r="I111" s="120"/>
      <c r="J111" s="120">
        <f>J112</f>
        <v>0</v>
      </c>
    </row>
    <row r="112" spans="1:10" ht="51" hidden="1">
      <c r="A112" s="27" t="s">
        <v>729</v>
      </c>
      <c r="B112" s="15" t="s">
        <v>64</v>
      </c>
      <c r="C112" s="27" t="s">
        <v>885</v>
      </c>
      <c r="D112" s="27" t="s">
        <v>486</v>
      </c>
      <c r="E112" s="25" t="s">
        <v>166</v>
      </c>
      <c r="F112" s="98"/>
      <c r="G112" s="120"/>
      <c r="H112" s="165"/>
      <c r="I112" s="120"/>
      <c r="J112" s="120">
        <v>0</v>
      </c>
    </row>
    <row r="113" spans="1:12" ht="12.75">
      <c r="A113" s="62" t="s">
        <v>731</v>
      </c>
      <c r="B113" s="62" t="s">
        <v>530</v>
      </c>
      <c r="C113" s="62" t="s">
        <v>838</v>
      </c>
      <c r="D113" s="62"/>
      <c r="E113" s="64" t="s">
        <v>533</v>
      </c>
      <c r="F113" s="98"/>
      <c r="G113" s="120">
        <f>G114</f>
        <v>2489005</v>
      </c>
      <c r="H113" s="165"/>
      <c r="I113" s="120">
        <f>I114</f>
        <v>1950524</v>
      </c>
      <c r="J113" s="120">
        <f>J114</f>
        <v>50000</v>
      </c>
      <c r="L113" s="125"/>
    </row>
    <row r="114" spans="1:12" ht="25.5">
      <c r="A114" s="77" t="s">
        <v>732</v>
      </c>
      <c r="B114" s="77" t="s">
        <v>63</v>
      </c>
      <c r="C114" s="77" t="s">
        <v>839</v>
      </c>
      <c r="D114" s="77" t="s">
        <v>478</v>
      </c>
      <c r="E114" s="140" t="s">
        <v>140</v>
      </c>
      <c r="F114" s="142"/>
      <c r="G114" s="151">
        <f>SUM(G115:G116)</f>
        <v>2489005</v>
      </c>
      <c r="H114" s="168"/>
      <c r="I114" s="151">
        <f>SUM(I115:I116)</f>
        <v>1950524</v>
      </c>
      <c r="J114" s="151">
        <f>SUM(J115:J116)</f>
        <v>50000</v>
      </c>
      <c r="L114" s="125">
        <f>J114-'[1]Місто'!$P$123</f>
        <v>0</v>
      </c>
    </row>
    <row r="115" spans="1:10" ht="25.5">
      <c r="A115" s="27" t="s">
        <v>732</v>
      </c>
      <c r="B115" s="15" t="s">
        <v>63</v>
      </c>
      <c r="C115" s="27" t="s">
        <v>839</v>
      </c>
      <c r="D115" s="27" t="s">
        <v>478</v>
      </c>
      <c r="E115" s="25" t="s">
        <v>140</v>
      </c>
      <c r="F115" s="25" t="s">
        <v>972</v>
      </c>
      <c r="G115" s="120">
        <v>2489005</v>
      </c>
      <c r="H115" s="164">
        <f>100-(I115/G115*100)</f>
        <v>21.634388038593727</v>
      </c>
      <c r="I115" s="120">
        <v>1950524</v>
      </c>
      <c r="J115" s="120">
        <f>1950524-214641-1685883</f>
        <v>50000</v>
      </c>
    </row>
    <row r="116" spans="1:10" ht="12.75" hidden="1">
      <c r="A116" s="27"/>
      <c r="B116" s="15"/>
      <c r="C116" s="15"/>
      <c r="D116" s="27"/>
      <c r="E116" s="25"/>
      <c r="F116" s="98"/>
      <c r="G116" s="120"/>
      <c r="H116" s="165"/>
      <c r="I116" s="120"/>
      <c r="J116" s="120"/>
    </row>
    <row r="117" spans="1:10" ht="12.75" hidden="1">
      <c r="A117" s="62" t="s">
        <v>733</v>
      </c>
      <c r="B117" s="62" t="s">
        <v>535</v>
      </c>
      <c r="C117" s="62" t="s">
        <v>843</v>
      </c>
      <c r="D117" s="62"/>
      <c r="E117" s="64" t="s">
        <v>536</v>
      </c>
      <c r="F117" s="98"/>
      <c r="G117" s="120"/>
      <c r="H117" s="165"/>
      <c r="I117" s="120"/>
      <c r="J117" s="120">
        <f>J118</f>
        <v>0</v>
      </c>
    </row>
    <row r="118" spans="1:10" ht="51" hidden="1">
      <c r="A118" s="27" t="s">
        <v>734</v>
      </c>
      <c r="B118" s="27" t="s">
        <v>415</v>
      </c>
      <c r="C118" s="27" t="s">
        <v>878</v>
      </c>
      <c r="D118" s="27" t="s">
        <v>490</v>
      </c>
      <c r="E118" s="43" t="s">
        <v>416</v>
      </c>
      <c r="F118" s="98"/>
      <c r="G118" s="120"/>
      <c r="H118" s="165"/>
      <c r="I118" s="120"/>
      <c r="J118" s="120">
        <v>0</v>
      </c>
    </row>
    <row r="119" spans="1:12" ht="25.5">
      <c r="A119" s="31" t="s">
        <v>168</v>
      </c>
      <c r="B119" s="31" t="s">
        <v>120</v>
      </c>
      <c r="C119" s="31" t="s">
        <v>120</v>
      </c>
      <c r="D119" s="31"/>
      <c r="E119" s="30" t="s">
        <v>680</v>
      </c>
      <c r="F119" s="30"/>
      <c r="G119" s="150">
        <f>G120</f>
        <v>127930680</v>
      </c>
      <c r="H119" s="166"/>
      <c r="I119" s="150">
        <f>I120</f>
        <v>85364300</v>
      </c>
      <c r="J119" s="150">
        <f>J120</f>
        <v>133376029</v>
      </c>
      <c r="L119" s="122">
        <f>J119-'[1]Місто'!$P$127</f>
        <v>0</v>
      </c>
    </row>
    <row r="120" spans="1:10" ht="25.5">
      <c r="A120" s="29" t="s">
        <v>169</v>
      </c>
      <c r="B120" s="18"/>
      <c r="C120" s="18"/>
      <c r="D120" s="18"/>
      <c r="E120" s="26" t="s">
        <v>680</v>
      </c>
      <c r="F120" s="98"/>
      <c r="G120" s="120">
        <f>G121+G123+G137</f>
        <v>127930680</v>
      </c>
      <c r="H120" s="165"/>
      <c r="I120" s="120">
        <f>I121+I123+I137</f>
        <v>85364300</v>
      </c>
      <c r="J120" s="120">
        <f>J121+J123+J137</f>
        <v>133376029</v>
      </c>
    </row>
    <row r="121" spans="1:10" ht="12.75">
      <c r="A121" s="62" t="s">
        <v>572</v>
      </c>
      <c r="B121" s="61" t="s">
        <v>567</v>
      </c>
      <c r="C121" s="61" t="s">
        <v>833</v>
      </c>
      <c r="D121" s="61"/>
      <c r="E121" s="72" t="s">
        <v>569</v>
      </c>
      <c r="F121" s="98"/>
      <c r="G121" s="120"/>
      <c r="H121" s="165"/>
      <c r="I121" s="120"/>
      <c r="J121" s="120">
        <f>J122</f>
        <v>3275458</v>
      </c>
    </row>
    <row r="122" spans="1:10" ht="25.5">
      <c r="A122" s="27" t="s">
        <v>1</v>
      </c>
      <c r="B122" s="15" t="s">
        <v>30</v>
      </c>
      <c r="C122" s="27" t="s">
        <v>515</v>
      </c>
      <c r="D122" s="27" t="s">
        <v>476</v>
      </c>
      <c r="E122" s="28" t="s">
        <v>259</v>
      </c>
      <c r="F122" s="126" t="s">
        <v>1110</v>
      </c>
      <c r="G122" s="120"/>
      <c r="H122" s="167"/>
      <c r="I122" s="120"/>
      <c r="J122" s="120">
        <f>'[1]Місто'!$P$130</f>
        <v>3275458</v>
      </c>
    </row>
    <row r="123" spans="1:10" ht="12.75">
      <c r="A123" s="62" t="s">
        <v>538</v>
      </c>
      <c r="B123" s="62" t="s">
        <v>537</v>
      </c>
      <c r="C123" s="62" t="s">
        <v>886</v>
      </c>
      <c r="D123" s="62"/>
      <c r="E123" s="63" t="s">
        <v>539</v>
      </c>
      <c r="F123" s="98"/>
      <c r="G123" s="120"/>
      <c r="H123" s="165"/>
      <c r="I123" s="120"/>
      <c r="J123" s="120">
        <f>J124+J125+J126+J127+J128+J129+J130+J131+J132+J134</f>
        <v>103839362</v>
      </c>
    </row>
    <row r="124" spans="1:10" ht="25.5">
      <c r="A124" s="27" t="s">
        <v>170</v>
      </c>
      <c r="B124" s="15" t="s">
        <v>36</v>
      </c>
      <c r="C124" s="27" t="s">
        <v>887</v>
      </c>
      <c r="D124" s="27" t="s">
        <v>491</v>
      </c>
      <c r="E124" s="25" t="s">
        <v>171</v>
      </c>
      <c r="F124" s="126" t="s">
        <v>1110</v>
      </c>
      <c r="G124" s="120"/>
      <c r="H124" s="165"/>
      <c r="I124" s="120"/>
      <c r="J124" s="120">
        <f>'[1]Місто'!$P$132</f>
        <v>72082588</v>
      </c>
    </row>
    <row r="125" spans="1:10" ht="25.5">
      <c r="A125" s="27" t="s">
        <v>172</v>
      </c>
      <c r="B125" s="15" t="s">
        <v>55</v>
      </c>
      <c r="C125" s="27" t="s">
        <v>888</v>
      </c>
      <c r="D125" s="27" t="s">
        <v>492</v>
      </c>
      <c r="E125" s="25" t="s">
        <v>343</v>
      </c>
      <c r="F125" s="126" t="s">
        <v>1110</v>
      </c>
      <c r="G125" s="120"/>
      <c r="H125" s="165"/>
      <c r="I125" s="120"/>
      <c r="J125" s="120">
        <f>'[1]Місто'!$P$136</f>
        <v>17880448</v>
      </c>
    </row>
    <row r="126" spans="1:10" ht="12.75" hidden="1">
      <c r="A126" s="27" t="s">
        <v>173</v>
      </c>
      <c r="B126" s="15" t="s">
        <v>37</v>
      </c>
      <c r="C126" s="27" t="s">
        <v>889</v>
      </c>
      <c r="D126" s="27" t="s">
        <v>493</v>
      </c>
      <c r="E126" s="25" t="s">
        <v>174</v>
      </c>
      <c r="F126" s="126" t="s">
        <v>1110</v>
      </c>
      <c r="G126" s="120"/>
      <c r="H126" s="165"/>
      <c r="I126" s="120"/>
      <c r="J126" s="120">
        <v>0</v>
      </c>
    </row>
    <row r="127" spans="1:10" ht="12.75">
      <c r="A127" s="27" t="s">
        <v>175</v>
      </c>
      <c r="B127" s="15" t="s">
        <v>38</v>
      </c>
      <c r="C127" s="27" t="s">
        <v>890</v>
      </c>
      <c r="D127" s="27" t="s">
        <v>494</v>
      </c>
      <c r="E127" s="26" t="s">
        <v>176</v>
      </c>
      <c r="F127" s="126" t="s">
        <v>1110</v>
      </c>
      <c r="G127" s="120"/>
      <c r="H127" s="165"/>
      <c r="I127" s="120"/>
      <c r="J127" s="120">
        <f>'[1]Місто'!$P$144</f>
        <v>3516613</v>
      </c>
    </row>
    <row r="128" spans="1:10" ht="25.5" hidden="1">
      <c r="A128" s="27" t="s">
        <v>177</v>
      </c>
      <c r="B128" s="15" t="s">
        <v>39</v>
      </c>
      <c r="C128" s="27" t="s">
        <v>891</v>
      </c>
      <c r="D128" s="27" t="s">
        <v>495</v>
      </c>
      <c r="E128" s="25" t="s">
        <v>178</v>
      </c>
      <c r="F128" s="126" t="s">
        <v>1110</v>
      </c>
      <c r="G128" s="120"/>
      <c r="H128" s="165"/>
      <c r="I128" s="120"/>
      <c r="J128" s="120">
        <v>0</v>
      </c>
    </row>
    <row r="129" spans="1:10" ht="30" customHeight="1">
      <c r="A129" s="27" t="s">
        <v>409</v>
      </c>
      <c r="B129" s="27" t="s">
        <v>408</v>
      </c>
      <c r="C129" s="27" t="s">
        <v>892</v>
      </c>
      <c r="D129" s="27" t="s">
        <v>496</v>
      </c>
      <c r="E129" s="25" t="s">
        <v>465</v>
      </c>
      <c r="F129" s="126" t="s">
        <v>1110</v>
      </c>
      <c r="G129" s="120"/>
      <c r="H129" s="165"/>
      <c r="I129" s="120"/>
      <c r="J129" s="120">
        <f>'[1]Місто'!$P$150</f>
        <v>10359713</v>
      </c>
    </row>
    <row r="130" spans="1:10" ht="51" hidden="1">
      <c r="A130" s="27" t="s">
        <v>179</v>
      </c>
      <c r="B130" s="15" t="s">
        <v>41</v>
      </c>
      <c r="C130" s="27" t="s">
        <v>893</v>
      </c>
      <c r="D130" s="27" t="s">
        <v>497</v>
      </c>
      <c r="E130" s="25" t="s">
        <v>3</v>
      </c>
      <c r="F130" s="98"/>
      <c r="G130" s="120"/>
      <c r="H130" s="165"/>
      <c r="I130" s="120"/>
      <c r="J130" s="120">
        <v>0</v>
      </c>
    </row>
    <row r="131" spans="1:10" ht="38.25" hidden="1">
      <c r="A131" s="27" t="s">
        <v>297</v>
      </c>
      <c r="B131" s="15" t="s">
        <v>42</v>
      </c>
      <c r="C131" s="27" t="s">
        <v>894</v>
      </c>
      <c r="D131" s="15"/>
      <c r="E131" s="76" t="s">
        <v>180</v>
      </c>
      <c r="F131" s="98"/>
      <c r="G131" s="120"/>
      <c r="H131" s="165"/>
      <c r="I131" s="120"/>
      <c r="J131" s="120">
        <v>0</v>
      </c>
    </row>
    <row r="132" spans="1:10" ht="25.5" hidden="1">
      <c r="A132" s="62" t="s">
        <v>297</v>
      </c>
      <c r="B132" s="62"/>
      <c r="C132" s="62" t="s">
        <v>894</v>
      </c>
      <c r="D132" s="62"/>
      <c r="E132" s="64" t="s">
        <v>573</v>
      </c>
      <c r="F132" s="98"/>
      <c r="G132" s="120"/>
      <c r="H132" s="165"/>
      <c r="I132" s="120"/>
      <c r="J132" s="120">
        <f>J133</f>
        <v>0</v>
      </c>
    </row>
    <row r="133" spans="1:10" ht="42" customHeight="1" hidden="1">
      <c r="A133" s="27" t="s">
        <v>453</v>
      </c>
      <c r="B133" s="15" t="s">
        <v>62</v>
      </c>
      <c r="C133" s="27" t="s">
        <v>895</v>
      </c>
      <c r="D133" s="27" t="s">
        <v>497</v>
      </c>
      <c r="E133" s="14" t="s">
        <v>73</v>
      </c>
      <c r="F133" s="98"/>
      <c r="G133" s="120"/>
      <c r="H133" s="165"/>
      <c r="I133" s="120"/>
      <c r="J133" s="120">
        <v>0</v>
      </c>
    </row>
    <row r="134" spans="1:10" ht="12.75" hidden="1">
      <c r="A134" s="45" t="s">
        <v>450</v>
      </c>
      <c r="B134" s="45" t="s">
        <v>40</v>
      </c>
      <c r="C134" s="45" t="s">
        <v>896</v>
      </c>
      <c r="D134" s="45" t="s">
        <v>497</v>
      </c>
      <c r="E134" s="47" t="s">
        <v>383</v>
      </c>
      <c r="F134" s="98"/>
      <c r="G134" s="120"/>
      <c r="H134" s="165"/>
      <c r="I134" s="120"/>
      <c r="J134" s="120">
        <f>J135+J136</f>
        <v>0</v>
      </c>
    </row>
    <row r="135" spans="1:10" ht="92.25" customHeight="1" hidden="1">
      <c r="A135" s="27" t="s">
        <v>451</v>
      </c>
      <c r="B135" s="15" t="s">
        <v>40</v>
      </c>
      <c r="C135" s="27" t="s">
        <v>897</v>
      </c>
      <c r="D135" s="27" t="s">
        <v>497</v>
      </c>
      <c r="E135" s="25" t="s">
        <v>344</v>
      </c>
      <c r="F135" s="98"/>
      <c r="G135" s="120"/>
      <c r="H135" s="165"/>
      <c r="I135" s="120"/>
      <c r="J135" s="120">
        <v>0</v>
      </c>
    </row>
    <row r="136" spans="1:10" ht="38.25" hidden="1">
      <c r="A136" s="27" t="s">
        <v>452</v>
      </c>
      <c r="B136" s="15" t="s">
        <v>40</v>
      </c>
      <c r="C136" s="27" t="s">
        <v>898</v>
      </c>
      <c r="D136" s="27" t="s">
        <v>497</v>
      </c>
      <c r="E136" s="25" t="s">
        <v>346</v>
      </c>
      <c r="F136" s="98"/>
      <c r="G136" s="120"/>
      <c r="H136" s="165"/>
      <c r="I136" s="120"/>
      <c r="J136" s="120">
        <v>0</v>
      </c>
    </row>
    <row r="137" spans="1:12" ht="12.75">
      <c r="A137" s="62" t="s">
        <v>540</v>
      </c>
      <c r="B137" s="62" t="s">
        <v>530</v>
      </c>
      <c r="C137" s="62" t="s">
        <v>838</v>
      </c>
      <c r="D137" s="62"/>
      <c r="E137" s="64" t="s">
        <v>532</v>
      </c>
      <c r="F137" s="98"/>
      <c r="G137" s="120">
        <f>G138</f>
        <v>127930680</v>
      </c>
      <c r="H137" s="164"/>
      <c r="I137" s="120">
        <f>I138</f>
        <v>85364300</v>
      </c>
      <c r="J137" s="120">
        <f>J138</f>
        <v>26261209</v>
      </c>
      <c r="L137" s="125"/>
    </row>
    <row r="138" spans="1:12" s="21" customFormat="1" ht="25.5">
      <c r="A138" s="77" t="s">
        <v>181</v>
      </c>
      <c r="B138" s="77" t="s">
        <v>63</v>
      </c>
      <c r="C138" s="77" t="s">
        <v>839</v>
      </c>
      <c r="D138" s="77" t="s">
        <v>478</v>
      </c>
      <c r="E138" s="140" t="s">
        <v>140</v>
      </c>
      <c r="F138" s="103"/>
      <c r="G138" s="151">
        <f>SUM(G139:G153)</f>
        <v>127930680</v>
      </c>
      <c r="H138" s="163"/>
      <c r="I138" s="151">
        <f>SUM(I139:I153)</f>
        <v>85364300</v>
      </c>
      <c r="J138" s="151">
        <f>SUM(J139:J153)</f>
        <v>26261209</v>
      </c>
      <c r="L138" s="125">
        <f>J138-'[1]Місто'!$P$164</f>
        <v>0</v>
      </c>
    </row>
    <row r="139" spans="1:10" s="21" customFormat="1" ht="38.25">
      <c r="A139" s="27" t="s">
        <v>181</v>
      </c>
      <c r="B139" s="15" t="s">
        <v>63</v>
      </c>
      <c r="C139" s="27" t="s">
        <v>839</v>
      </c>
      <c r="D139" s="27" t="s">
        <v>478</v>
      </c>
      <c r="E139" s="25" t="s">
        <v>140</v>
      </c>
      <c r="F139" s="14" t="s">
        <v>973</v>
      </c>
      <c r="G139" s="120">
        <v>10657890</v>
      </c>
      <c r="H139" s="164">
        <f aca="true" t="shared" si="1" ref="H139:H153">100-(I139/G139*100)</f>
        <v>42.10962957958846</v>
      </c>
      <c r="I139" s="120">
        <v>6169892</v>
      </c>
      <c r="J139" s="120">
        <f>731344-419344</f>
        <v>312000</v>
      </c>
    </row>
    <row r="140" spans="1:10" s="21" customFormat="1" ht="38.25">
      <c r="A140" s="27" t="s">
        <v>181</v>
      </c>
      <c r="B140" s="15" t="s">
        <v>63</v>
      </c>
      <c r="C140" s="27" t="s">
        <v>839</v>
      </c>
      <c r="D140" s="27" t="s">
        <v>478</v>
      </c>
      <c r="E140" s="25" t="s">
        <v>140</v>
      </c>
      <c r="F140" s="14" t="s">
        <v>1106</v>
      </c>
      <c r="G140" s="120">
        <v>6395410</v>
      </c>
      <c r="H140" s="164">
        <f t="shared" si="1"/>
        <v>91.59819307909892</v>
      </c>
      <c r="I140" s="120">
        <v>537330</v>
      </c>
      <c r="J140" s="120">
        <v>537330</v>
      </c>
    </row>
    <row r="141" spans="1:10" s="21" customFormat="1" ht="38.25">
      <c r="A141" s="27" t="s">
        <v>181</v>
      </c>
      <c r="B141" s="15" t="s">
        <v>63</v>
      </c>
      <c r="C141" s="27" t="s">
        <v>839</v>
      </c>
      <c r="D141" s="27" t="s">
        <v>478</v>
      </c>
      <c r="E141" s="25" t="s">
        <v>140</v>
      </c>
      <c r="F141" s="14" t="s">
        <v>974</v>
      </c>
      <c r="G141" s="120">
        <v>5483531</v>
      </c>
      <c r="H141" s="164">
        <f t="shared" si="1"/>
        <v>3.698529287059742</v>
      </c>
      <c r="I141" s="120">
        <v>5280721</v>
      </c>
      <c r="J141" s="120">
        <f>5280721-4812522</f>
        <v>468199</v>
      </c>
    </row>
    <row r="142" spans="1:10" s="21" customFormat="1" ht="25.5">
      <c r="A142" s="27" t="s">
        <v>181</v>
      </c>
      <c r="B142" s="15" t="s">
        <v>63</v>
      </c>
      <c r="C142" s="27" t="s">
        <v>839</v>
      </c>
      <c r="D142" s="27" t="s">
        <v>478</v>
      </c>
      <c r="E142" s="25" t="s">
        <v>140</v>
      </c>
      <c r="F142" s="14" t="s">
        <v>975</v>
      </c>
      <c r="G142" s="120">
        <v>3988277</v>
      </c>
      <c r="H142" s="164">
        <f t="shared" si="1"/>
        <v>17.116163195284585</v>
      </c>
      <c r="I142" s="120">
        <v>3305637</v>
      </c>
      <c r="J142" s="120">
        <v>1967490</v>
      </c>
    </row>
    <row r="143" spans="1:10" s="21" customFormat="1" ht="40.5" customHeight="1">
      <c r="A143" s="27" t="s">
        <v>181</v>
      </c>
      <c r="B143" s="15" t="s">
        <v>63</v>
      </c>
      <c r="C143" s="27" t="s">
        <v>839</v>
      </c>
      <c r="D143" s="27" t="s">
        <v>478</v>
      </c>
      <c r="E143" s="25" t="s">
        <v>140</v>
      </c>
      <c r="F143" s="25" t="s">
        <v>1367</v>
      </c>
      <c r="G143" s="120">
        <v>9046100</v>
      </c>
      <c r="H143" s="164">
        <f t="shared" si="1"/>
        <v>43.28059605796973</v>
      </c>
      <c r="I143" s="120">
        <v>5130894</v>
      </c>
      <c r="J143" s="120">
        <v>3352764</v>
      </c>
    </row>
    <row r="144" spans="1:10" s="21" customFormat="1" ht="38.25">
      <c r="A144" s="27" t="s">
        <v>181</v>
      </c>
      <c r="B144" s="15" t="s">
        <v>63</v>
      </c>
      <c r="C144" s="27" t="s">
        <v>839</v>
      </c>
      <c r="D144" s="27" t="s">
        <v>478</v>
      </c>
      <c r="E144" s="25" t="s">
        <v>140</v>
      </c>
      <c r="F144" s="14" t="s">
        <v>976</v>
      </c>
      <c r="G144" s="120">
        <v>2760406</v>
      </c>
      <c r="H144" s="164">
        <f t="shared" si="1"/>
        <v>5.022739408623224</v>
      </c>
      <c r="I144" s="120">
        <v>2621758</v>
      </c>
      <c r="J144" s="120">
        <v>2621758</v>
      </c>
    </row>
    <row r="145" spans="1:10" s="21" customFormat="1" ht="25.5">
      <c r="A145" s="27" t="s">
        <v>181</v>
      </c>
      <c r="B145" s="15" t="s">
        <v>63</v>
      </c>
      <c r="C145" s="27" t="s">
        <v>839</v>
      </c>
      <c r="D145" s="27" t="s">
        <v>478</v>
      </c>
      <c r="E145" s="25" t="s">
        <v>140</v>
      </c>
      <c r="F145" s="14" t="s">
        <v>977</v>
      </c>
      <c r="G145" s="120">
        <v>14074238</v>
      </c>
      <c r="H145" s="164">
        <f t="shared" si="1"/>
        <v>27.188399116172405</v>
      </c>
      <c r="I145" s="120">
        <v>10247678</v>
      </c>
      <c r="J145" s="120">
        <v>3836986</v>
      </c>
    </row>
    <row r="146" spans="1:10" s="21" customFormat="1" ht="37.5" customHeight="1">
      <c r="A146" s="27" t="s">
        <v>181</v>
      </c>
      <c r="B146" s="15" t="s">
        <v>63</v>
      </c>
      <c r="C146" s="27" t="s">
        <v>839</v>
      </c>
      <c r="D146" s="27" t="s">
        <v>478</v>
      </c>
      <c r="E146" s="25" t="s">
        <v>140</v>
      </c>
      <c r="F146" s="14" t="s">
        <v>1105</v>
      </c>
      <c r="G146" s="120">
        <v>16869673</v>
      </c>
      <c r="H146" s="164">
        <f t="shared" si="1"/>
        <v>55.232588088696204</v>
      </c>
      <c r="I146" s="120">
        <v>7552116</v>
      </c>
      <c r="J146" s="120">
        <f>800000+1165000</f>
        <v>1965000</v>
      </c>
    </row>
    <row r="147" spans="1:10" s="21" customFormat="1" ht="25.5">
      <c r="A147" s="27" t="s">
        <v>181</v>
      </c>
      <c r="B147" s="15" t="s">
        <v>63</v>
      </c>
      <c r="C147" s="27" t="s">
        <v>839</v>
      </c>
      <c r="D147" s="27" t="s">
        <v>478</v>
      </c>
      <c r="E147" s="25" t="s">
        <v>140</v>
      </c>
      <c r="F147" s="14" t="s">
        <v>1107</v>
      </c>
      <c r="G147" s="120">
        <v>2614214</v>
      </c>
      <c r="H147" s="164">
        <f t="shared" si="1"/>
        <v>53.12128234337357</v>
      </c>
      <c r="I147" s="120">
        <v>1225510</v>
      </c>
      <c r="J147" s="120">
        <v>408666</v>
      </c>
    </row>
    <row r="148" spans="1:10" s="21" customFormat="1" ht="25.5">
      <c r="A148" s="27" t="s">
        <v>181</v>
      </c>
      <c r="B148" s="15" t="s">
        <v>63</v>
      </c>
      <c r="C148" s="27" t="s">
        <v>839</v>
      </c>
      <c r="D148" s="27" t="s">
        <v>478</v>
      </c>
      <c r="E148" s="25" t="s">
        <v>140</v>
      </c>
      <c r="F148" s="14" t="s">
        <v>1108</v>
      </c>
      <c r="G148" s="120">
        <v>214596</v>
      </c>
      <c r="H148" s="164">
        <f t="shared" si="1"/>
        <v>6.801617923912843</v>
      </c>
      <c r="I148" s="120">
        <v>200000</v>
      </c>
      <c r="J148" s="120">
        <v>200000</v>
      </c>
    </row>
    <row r="149" spans="1:10" s="21" customFormat="1" ht="38.25">
      <c r="A149" s="27" t="s">
        <v>181</v>
      </c>
      <c r="B149" s="15" t="s">
        <v>63</v>
      </c>
      <c r="C149" s="27" t="s">
        <v>839</v>
      </c>
      <c r="D149" s="27" t="s">
        <v>478</v>
      </c>
      <c r="E149" s="25" t="s">
        <v>140</v>
      </c>
      <c r="F149" s="14" t="s">
        <v>1111</v>
      </c>
      <c r="G149" s="120">
        <v>3615949</v>
      </c>
      <c r="H149" s="164">
        <f t="shared" si="1"/>
        <v>26.715504007385064</v>
      </c>
      <c r="I149" s="120">
        <v>2649930</v>
      </c>
      <c r="J149" s="120">
        <v>887945</v>
      </c>
    </row>
    <row r="150" spans="1:10" s="21" customFormat="1" ht="38.25">
      <c r="A150" s="27" t="s">
        <v>181</v>
      </c>
      <c r="B150" s="15" t="s">
        <v>63</v>
      </c>
      <c r="C150" s="27" t="s">
        <v>839</v>
      </c>
      <c r="D150" s="27" t="s">
        <v>478</v>
      </c>
      <c r="E150" s="25" t="s">
        <v>140</v>
      </c>
      <c r="F150" s="14" t="s">
        <v>1109</v>
      </c>
      <c r="G150" s="120">
        <v>3575299</v>
      </c>
      <c r="H150" s="164">
        <f t="shared" si="1"/>
        <v>78.45654307513861</v>
      </c>
      <c r="I150" s="120">
        <v>770243</v>
      </c>
      <c r="J150" s="120">
        <v>220080</v>
      </c>
    </row>
    <row r="151" spans="1:10" s="21" customFormat="1" ht="38.25">
      <c r="A151" s="27" t="s">
        <v>181</v>
      </c>
      <c r="B151" s="15" t="s">
        <v>63</v>
      </c>
      <c r="C151" s="27" t="s">
        <v>839</v>
      </c>
      <c r="D151" s="27" t="s">
        <v>478</v>
      </c>
      <c r="E151" s="25" t="s">
        <v>140</v>
      </c>
      <c r="F151" s="25" t="s">
        <v>1368</v>
      </c>
      <c r="G151" s="120">
        <v>27395310</v>
      </c>
      <c r="H151" s="164">
        <f t="shared" si="1"/>
        <v>4.910179881154846</v>
      </c>
      <c r="I151" s="120">
        <v>26050151</v>
      </c>
      <c r="J151" s="120">
        <v>71000</v>
      </c>
    </row>
    <row r="152" spans="1:10" s="21" customFormat="1" ht="38.25">
      <c r="A152" s="27" t="s">
        <v>181</v>
      </c>
      <c r="B152" s="15" t="s">
        <v>63</v>
      </c>
      <c r="C152" s="27" t="s">
        <v>839</v>
      </c>
      <c r="D152" s="27" t="s">
        <v>478</v>
      </c>
      <c r="E152" s="25" t="s">
        <v>140</v>
      </c>
      <c r="F152" s="14" t="s">
        <v>978</v>
      </c>
      <c r="G152" s="120">
        <v>11257883</v>
      </c>
      <c r="H152" s="164">
        <f t="shared" si="1"/>
        <v>29.056306589791348</v>
      </c>
      <c r="I152" s="120">
        <v>7986758</v>
      </c>
      <c r="J152" s="120">
        <v>5817293</v>
      </c>
    </row>
    <row r="153" spans="1:10" s="21" customFormat="1" ht="51">
      <c r="A153" s="27" t="s">
        <v>181</v>
      </c>
      <c r="B153" s="15" t="s">
        <v>63</v>
      </c>
      <c r="C153" s="27" t="s">
        <v>839</v>
      </c>
      <c r="D153" s="27" t="s">
        <v>478</v>
      </c>
      <c r="E153" s="25" t="s">
        <v>140</v>
      </c>
      <c r="F153" s="14" t="s">
        <v>979</v>
      </c>
      <c r="G153" s="120">
        <v>9981904</v>
      </c>
      <c r="H153" s="164">
        <f t="shared" si="1"/>
        <v>43.54101181498039</v>
      </c>
      <c r="I153" s="120">
        <v>5635682</v>
      </c>
      <c r="J153" s="120">
        <v>3594698</v>
      </c>
    </row>
    <row r="154" spans="1:12" s="2" customFormat="1" ht="30.75" customHeight="1">
      <c r="A154" s="31" t="s">
        <v>182</v>
      </c>
      <c r="B154" s="31" t="s">
        <v>121</v>
      </c>
      <c r="C154" s="31" t="s">
        <v>121</v>
      </c>
      <c r="D154" s="31"/>
      <c r="E154" s="30" t="s">
        <v>99</v>
      </c>
      <c r="F154" s="30"/>
      <c r="G154" s="150">
        <f>G155</f>
        <v>32468162</v>
      </c>
      <c r="H154" s="166"/>
      <c r="I154" s="150">
        <f>I155</f>
        <v>24083382</v>
      </c>
      <c r="J154" s="150">
        <f>J155</f>
        <v>7454104</v>
      </c>
      <c r="L154" s="122">
        <f>J154-'[1]Місто'!$P$166</f>
        <v>0</v>
      </c>
    </row>
    <row r="155" spans="1:10" s="2" customFormat="1" ht="26.25" customHeight="1">
      <c r="A155" s="29" t="s">
        <v>183</v>
      </c>
      <c r="B155" s="18"/>
      <c r="C155" s="18"/>
      <c r="D155" s="18"/>
      <c r="E155" s="26" t="s">
        <v>99</v>
      </c>
      <c r="F155" s="102"/>
      <c r="G155" s="130">
        <f>G156+G158+G160+G181</f>
        <v>32468162</v>
      </c>
      <c r="H155" s="169"/>
      <c r="I155" s="130">
        <f>I156+I158+I160+I181</f>
        <v>24083382</v>
      </c>
      <c r="J155" s="130">
        <f>J156+J158+J160+J181</f>
        <v>7454104</v>
      </c>
    </row>
    <row r="156" spans="1:10" s="2" customFormat="1" ht="12.75">
      <c r="A156" s="62" t="s">
        <v>574</v>
      </c>
      <c r="B156" s="61" t="s">
        <v>567</v>
      </c>
      <c r="C156" s="61" t="s">
        <v>833</v>
      </c>
      <c r="D156" s="61"/>
      <c r="E156" s="72" t="s">
        <v>569</v>
      </c>
      <c r="F156" s="102"/>
      <c r="G156" s="130"/>
      <c r="H156" s="169"/>
      <c r="I156" s="130"/>
      <c r="J156" s="130">
        <f>J157</f>
        <v>3018096</v>
      </c>
    </row>
    <row r="157" spans="1:10" s="2" customFormat="1" ht="25.5">
      <c r="A157" s="15" t="s">
        <v>2</v>
      </c>
      <c r="B157" s="15" t="s">
        <v>30</v>
      </c>
      <c r="C157" s="27" t="s">
        <v>515</v>
      </c>
      <c r="D157" s="15" t="s">
        <v>476</v>
      </c>
      <c r="E157" s="22" t="s">
        <v>261</v>
      </c>
      <c r="F157" s="126" t="s">
        <v>1110</v>
      </c>
      <c r="G157" s="130"/>
      <c r="H157" s="169"/>
      <c r="I157" s="130"/>
      <c r="J157" s="130">
        <f>'[1]Місто'!$P$169</f>
        <v>3018096</v>
      </c>
    </row>
    <row r="158" spans="1:10" s="2" customFormat="1" ht="12.75" hidden="1">
      <c r="A158" s="65" t="s">
        <v>541</v>
      </c>
      <c r="B158" s="66" t="s">
        <v>522</v>
      </c>
      <c r="C158" s="66" t="s">
        <v>855</v>
      </c>
      <c r="D158" s="66"/>
      <c r="E158" s="67" t="s">
        <v>524</v>
      </c>
      <c r="F158" s="102"/>
      <c r="G158" s="130"/>
      <c r="H158" s="169"/>
      <c r="I158" s="130"/>
      <c r="J158" s="130">
        <f>J159</f>
        <v>0</v>
      </c>
    </row>
    <row r="159" spans="1:10" s="2" customFormat="1" ht="63.75" customHeight="1" hidden="1">
      <c r="A159" s="6" t="s">
        <v>454</v>
      </c>
      <c r="B159" s="6" t="s">
        <v>29</v>
      </c>
      <c r="C159" s="6" t="s">
        <v>490</v>
      </c>
      <c r="D159" s="6" t="s">
        <v>480</v>
      </c>
      <c r="E159" s="9" t="s">
        <v>466</v>
      </c>
      <c r="F159" s="102"/>
      <c r="G159" s="130"/>
      <c r="H159" s="169"/>
      <c r="I159" s="130"/>
      <c r="J159" s="130">
        <v>0</v>
      </c>
    </row>
    <row r="160" spans="1:10" s="2" customFormat="1" ht="12.75">
      <c r="A160" s="65" t="s">
        <v>542</v>
      </c>
      <c r="B160" s="65" t="s">
        <v>525</v>
      </c>
      <c r="C160" s="65" t="s">
        <v>863</v>
      </c>
      <c r="D160" s="65"/>
      <c r="E160" s="68" t="s">
        <v>527</v>
      </c>
      <c r="F160" s="102"/>
      <c r="G160" s="130"/>
      <c r="H160" s="169"/>
      <c r="I160" s="130"/>
      <c r="J160" s="130">
        <f>J161+J169+J171+J172+J175+J177+J179</f>
        <v>1798960</v>
      </c>
    </row>
    <row r="161" spans="1:10" ht="165.75">
      <c r="A161" s="6" t="s">
        <v>545</v>
      </c>
      <c r="B161" s="65"/>
      <c r="C161" s="65" t="s">
        <v>899</v>
      </c>
      <c r="D161" s="65"/>
      <c r="E161" s="70" t="s">
        <v>771</v>
      </c>
      <c r="F161" s="98"/>
      <c r="G161" s="120"/>
      <c r="H161" s="165"/>
      <c r="I161" s="120"/>
      <c r="J161" s="120">
        <f>J162+J163+J164+J165+J166+J167+J168</f>
        <v>80000</v>
      </c>
    </row>
    <row r="162" spans="1:10" s="2" customFormat="1" ht="168">
      <c r="A162" s="6" t="s">
        <v>290</v>
      </c>
      <c r="B162" s="6" t="s">
        <v>60</v>
      </c>
      <c r="C162" s="6" t="s">
        <v>900</v>
      </c>
      <c r="D162" s="6" t="s">
        <v>498</v>
      </c>
      <c r="E162" s="16" t="s">
        <v>467</v>
      </c>
      <c r="F162" s="126" t="s">
        <v>1110</v>
      </c>
      <c r="G162" s="130"/>
      <c r="H162" s="169"/>
      <c r="I162" s="130"/>
      <c r="J162" s="130">
        <f>'[1]Місто'!$P$203</f>
        <v>80000</v>
      </c>
    </row>
    <row r="163" spans="1:10" s="2" customFormat="1" ht="78" customHeight="1" hidden="1">
      <c r="A163" s="6" t="s">
        <v>291</v>
      </c>
      <c r="B163" s="6" t="s">
        <v>61</v>
      </c>
      <c r="C163" s="6" t="s">
        <v>901</v>
      </c>
      <c r="D163" s="6" t="s">
        <v>499</v>
      </c>
      <c r="E163" s="17" t="s">
        <v>184</v>
      </c>
      <c r="F163" s="102"/>
      <c r="G163" s="130"/>
      <c r="H163" s="169"/>
      <c r="I163" s="130"/>
      <c r="J163" s="130">
        <v>0</v>
      </c>
    </row>
    <row r="164" spans="1:10" s="2" customFormat="1" ht="25.5" hidden="1">
      <c r="A164" s="6" t="s">
        <v>292</v>
      </c>
      <c r="B164" s="6" t="s">
        <v>28</v>
      </c>
      <c r="C164" s="6" t="s">
        <v>902</v>
      </c>
      <c r="D164" s="6" t="s">
        <v>499</v>
      </c>
      <c r="E164" s="9" t="s">
        <v>468</v>
      </c>
      <c r="F164" s="102"/>
      <c r="G164" s="130"/>
      <c r="H164" s="169"/>
      <c r="I164" s="130"/>
      <c r="J164" s="130">
        <v>0</v>
      </c>
    </row>
    <row r="165" spans="1:10" ht="42.75" customHeight="1" hidden="1">
      <c r="A165" s="27" t="s">
        <v>293</v>
      </c>
      <c r="B165" s="15" t="s">
        <v>57</v>
      </c>
      <c r="C165" s="27" t="s">
        <v>903</v>
      </c>
      <c r="D165" s="27" t="s">
        <v>499</v>
      </c>
      <c r="E165" s="14" t="s">
        <v>27</v>
      </c>
      <c r="F165" s="98"/>
      <c r="G165" s="120"/>
      <c r="H165" s="165"/>
      <c r="I165" s="120"/>
      <c r="J165" s="120">
        <v>0</v>
      </c>
    </row>
    <row r="166" spans="1:10" ht="38.25" hidden="1">
      <c r="A166" s="27" t="s">
        <v>294</v>
      </c>
      <c r="B166" s="15" t="s">
        <v>82</v>
      </c>
      <c r="C166" s="27" t="s">
        <v>904</v>
      </c>
      <c r="D166" s="27" t="s">
        <v>499</v>
      </c>
      <c r="E166" s="14" t="s">
        <v>87</v>
      </c>
      <c r="F166" s="98"/>
      <c r="G166" s="120"/>
      <c r="H166" s="165"/>
      <c r="I166" s="120"/>
      <c r="J166" s="120">
        <v>0</v>
      </c>
    </row>
    <row r="167" spans="1:10" s="2" customFormat="1" ht="38.25" hidden="1">
      <c r="A167" s="27" t="s">
        <v>295</v>
      </c>
      <c r="B167" s="15" t="s">
        <v>80</v>
      </c>
      <c r="C167" s="27" t="s">
        <v>905</v>
      </c>
      <c r="D167" s="27" t="s">
        <v>499</v>
      </c>
      <c r="E167" s="14" t="s">
        <v>81</v>
      </c>
      <c r="F167" s="102"/>
      <c r="G167" s="130"/>
      <c r="H167" s="169"/>
      <c r="I167" s="130"/>
      <c r="J167" s="130">
        <v>0</v>
      </c>
    </row>
    <row r="168" spans="1:10" s="2" customFormat="1" ht="38.25" hidden="1">
      <c r="A168" s="27" t="s">
        <v>296</v>
      </c>
      <c r="B168" s="15" t="s">
        <v>58</v>
      </c>
      <c r="C168" s="27" t="s">
        <v>906</v>
      </c>
      <c r="D168" s="27" t="s">
        <v>499</v>
      </c>
      <c r="E168" s="25" t="s">
        <v>273</v>
      </c>
      <c r="F168" s="102"/>
      <c r="G168" s="130"/>
      <c r="H168" s="169"/>
      <c r="I168" s="130"/>
      <c r="J168" s="130">
        <v>0</v>
      </c>
    </row>
    <row r="169" spans="1:10" ht="51" customHeight="1">
      <c r="A169" s="62" t="s">
        <v>546</v>
      </c>
      <c r="B169" s="62"/>
      <c r="C169" s="62" t="s">
        <v>907</v>
      </c>
      <c r="D169" s="62"/>
      <c r="E169" s="64" t="s">
        <v>547</v>
      </c>
      <c r="F169" s="98"/>
      <c r="G169" s="120"/>
      <c r="H169" s="165"/>
      <c r="I169" s="120"/>
      <c r="J169" s="120">
        <f>J170</f>
        <v>1527960</v>
      </c>
    </row>
    <row r="170" spans="1:10" ht="51">
      <c r="A170" s="27" t="s">
        <v>320</v>
      </c>
      <c r="B170" s="15" t="s">
        <v>45</v>
      </c>
      <c r="C170" s="27" t="s">
        <v>908</v>
      </c>
      <c r="D170" s="27" t="s">
        <v>502</v>
      </c>
      <c r="E170" s="25" t="s">
        <v>185</v>
      </c>
      <c r="F170" s="98"/>
      <c r="G170" s="120"/>
      <c r="H170" s="165"/>
      <c r="I170" s="120"/>
      <c r="J170" s="120">
        <f>'[1]Місто'!$P$232</f>
        <v>1527960</v>
      </c>
    </row>
    <row r="171" spans="1:10" ht="27.75" customHeight="1" hidden="1">
      <c r="A171" s="65" t="s">
        <v>754</v>
      </c>
      <c r="B171" s="66" t="s">
        <v>667</v>
      </c>
      <c r="C171" s="66" t="s">
        <v>869</v>
      </c>
      <c r="D171" s="66" t="s">
        <v>669</v>
      </c>
      <c r="E171" s="71" t="s">
        <v>668</v>
      </c>
      <c r="F171" s="98"/>
      <c r="G171" s="120"/>
      <c r="H171" s="165"/>
      <c r="I171" s="120"/>
      <c r="J171" s="120">
        <v>0</v>
      </c>
    </row>
    <row r="172" spans="1:10" ht="25.5" hidden="1">
      <c r="A172" s="62" t="s">
        <v>548</v>
      </c>
      <c r="B172" s="62"/>
      <c r="C172" s="62" t="s">
        <v>864</v>
      </c>
      <c r="D172" s="62"/>
      <c r="E172" s="64" t="s">
        <v>644</v>
      </c>
      <c r="F172" s="98"/>
      <c r="G172" s="120"/>
      <c r="H172" s="165"/>
      <c r="I172" s="120"/>
      <c r="J172" s="120">
        <f>J173+J174</f>
        <v>0</v>
      </c>
    </row>
    <row r="173" spans="1:10" ht="25.5" hidden="1">
      <c r="A173" s="27" t="s">
        <v>385</v>
      </c>
      <c r="B173" s="6" t="s">
        <v>66</v>
      </c>
      <c r="C173" s="6" t="s">
        <v>865</v>
      </c>
      <c r="D173" s="6" t="s">
        <v>485</v>
      </c>
      <c r="E173" s="25" t="s">
        <v>313</v>
      </c>
      <c r="F173" s="98"/>
      <c r="G173" s="120"/>
      <c r="H173" s="165"/>
      <c r="I173" s="120"/>
      <c r="J173" s="120">
        <v>0</v>
      </c>
    </row>
    <row r="174" spans="1:10" ht="25.5" hidden="1">
      <c r="A174" s="27" t="s">
        <v>386</v>
      </c>
      <c r="B174" s="6" t="s">
        <v>67</v>
      </c>
      <c r="C174" s="6" t="s">
        <v>866</v>
      </c>
      <c r="D174" s="6" t="s">
        <v>485</v>
      </c>
      <c r="E174" s="14" t="s">
        <v>83</v>
      </c>
      <c r="F174" s="98"/>
      <c r="G174" s="120"/>
      <c r="H174" s="165"/>
      <c r="I174" s="120"/>
      <c r="J174" s="120">
        <v>0</v>
      </c>
    </row>
    <row r="175" spans="1:10" ht="76.5" hidden="1">
      <c r="A175" s="62" t="s">
        <v>549</v>
      </c>
      <c r="B175" s="62"/>
      <c r="C175" s="62" t="s">
        <v>909</v>
      </c>
      <c r="D175" s="62"/>
      <c r="E175" s="64" t="s">
        <v>550</v>
      </c>
      <c r="F175" s="98"/>
      <c r="G175" s="120"/>
      <c r="H175" s="165"/>
      <c r="I175" s="120"/>
      <c r="J175" s="120">
        <f>J176</f>
        <v>0</v>
      </c>
    </row>
    <row r="176" spans="1:10" ht="63.75" hidden="1">
      <c r="A176" s="27" t="s">
        <v>321</v>
      </c>
      <c r="B176" s="27" t="s">
        <v>92</v>
      </c>
      <c r="C176" s="27" t="s">
        <v>910</v>
      </c>
      <c r="D176" s="27" t="s">
        <v>501</v>
      </c>
      <c r="E176" s="25" t="s">
        <v>347</v>
      </c>
      <c r="F176" s="98"/>
      <c r="G176" s="120"/>
      <c r="H176" s="165"/>
      <c r="I176" s="120"/>
      <c r="J176" s="120">
        <v>0</v>
      </c>
    </row>
    <row r="177" spans="1:10" ht="12.75">
      <c r="A177" s="62" t="s">
        <v>551</v>
      </c>
      <c r="B177" s="62"/>
      <c r="C177" s="62" t="s">
        <v>911</v>
      </c>
      <c r="D177" s="62"/>
      <c r="E177" s="64" t="s">
        <v>552</v>
      </c>
      <c r="F177" s="98"/>
      <c r="G177" s="120"/>
      <c r="H177" s="165"/>
      <c r="I177" s="120"/>
      <c r="J177" s="120">
        <f>J178</f>
        <v>191000</v>
      </c>
    </row>
    <row r="178" spans="1:10" ht="38.25">
      <c r="A178" s="27" t="s">
        <v>322</v>
      </c>
      <c r="B178" s="15" t="s">
        <v>59</v>
      </c>
      <c r="C178" s="27" t="s">
        <v>912</v>
      </c>
      <c r="D178" s="27" t="s">
        <v>498</v>
      </c>
      <c r="E178" s="26" t="s">
        <v>186</v>
      </c>
      <c r="F178" s="98"/>
      <c r="G178" s="120"/>
      <c r="H178" s="165"/>
      <c r="I178" s="120"/>
      <c r="J178" s="120">
        <f>'[1]Місто'!$P$242</f>
        <v>191000</v>
      </c>
    </row>
    <row r="179" spans="1:10" ht="27.75" customHeight="1" hidden="1">
      <c r="A179" s="48" t="s">
        <v>348</v>
      </c>
      <c r="B179" s="49" t="s">
        <v>43</v>
      </c>
      <c r="C179" s="49" t="s">
        <v>913</v>
      </c>
      <c r="D179" s="49"/>
      <c r="E179" s="50" t="s">
        <v>282</v>
      </c>
      <c r="F179" s="98"/>
      <c r="G179" s="120"/>
      <c r="H179" s="165"/>
      <c r="I179" s="120"/>
      <c r="J179" s="120">
        <f>J180</f>
        <v>0</v>
      </c>
    </row>
    <row r="180" spans="1:10" s="2" customFormat="1" ht="42" customHeight="1" hidden="1">
      <c r="A180" s="27" t="s">
        <v>319</v>
      </c>
      <c r="B180" s="15" t="s">
        <v>43</v>
      </c>
      <c r="C180" s="27" t="s">
        <v>914</v>
      </c>
      <c r="D180" s="27" t="s">
        <v>500</v>
      </c>
      <c r="E180" s="3" t="s">
        <v>417</v>
      </c>
      <c r="F180" s="102"/>
      <c r="G180" s="130"/>
      <c r="H180" s="169"/>
      <c r="I180" s="130"/>
      <c r="J180" s="130">
        <v>0</v>
      </c>
    </row>
    <row r="181" spans="1:12" ht="12.75">
      <c r="A181" s="62" t="s">
        <v>543</v>
      </c>
      <c r="B181" s="61" t="s">
        <v>530</v>
      </c>
      <c r="C181" s="61" t="s">
        <v>838</v>
      </c>
      <c r="D181" s="61"/>
      <c r="E181" s="69" t="s">
        <v>532</v>
      </c>
      <c r="F181" s="98"/>
      <c r="G181" s="120">
        <f>G182</f>
        <v>32468162</v>
      </c>
      <c r="H181" s="164"/>
      <c r="I181" s="120">
        <f>I182</f>
        <v>24083382</v>
      </c>
      <c r="J181" s="120">
        <f>J182</f>
        <v>2637048</v>
      </c>
      <c r="K181" s="125"/>
      <c r="L181" s="125"/>
    </row>
    <row r="182" spans="1:12" ht="25.5">
      <c r="A182" s="77" t="s">
        <v>187</v>
      </c>
      <c r="B182" s="77" t="s">
        <v>63</v>
      </c>
      <c r="C182" s="77" t="s">
        <v>839</v>
      </c>
      <c r="D182" s="77" t="s">
        <v>478</v>
      </c>
      <c r="E182" s="143" t="s">
        <v>140</v>
      </c>
      <c r="F182" s="142"/>
      <c r="G182" s="151">
        <f>SUM(G183:G190)</f>
        <v>32468162</v>
      </c>
      <c r="H182" s="163"/>
      <c r="I182" s="151">
        <f>SUM(I183:I190)</f>
        <v>24083382</v>
      </c>
      <c r="J182" s="151">
        <f>SUM(J183:J190)</f>
        <v>2637048</v>
      </c>
      <c r="L182" s="125">
        <f>J182-'[1]Місто'!$P$246</f>
        <v>0</v>
      </c>
    </row>
    <row r="183" spans="1:10" ht="25.5">
      <c r="A183" s="27" t="s">
        <v>187</v>
      </c>
      <c r="B183" s="15" t="s">
        <v>63</v>
      </c>
      <c r="C183" s="27" t="s">
        <v>839</v>
      </c>
      <c r="D183" s="27" t="s">
        <v>478</v>
      </c>
      <c r="E183" s="26" t="s">
        <v>140</v>
      </c>
      <c r="F183" s="25" t="s">
        <v>980</v>
      </c>
      <c r="G183" s="120">
        <v>14593319</v>
      </c>
      <c r="H183" s="164">
        <f>100-(I183/G183*100)</f>
        <v>1.908510325855275</v>
      </c>
      <c r="I183" s="120">
        <v>14314804</v>
      </c>
      <c r="J183" s="120">
        <f>2983257-770466-230880-1732072</f>
        <v>249839</v>
      </c>
    </row>
    <row r="184" spans="1:10" ht="51" customHeight="1">
      <c r="A184" s="27" t="s">
        <v>187</v>
      </c>
      <c r="B184" s="15" t="s">
        <v>63</v>
      </c>
      <c r="C184" s="27" t="s">
        <v>839</v>
      </c>
      <c r="D184" s="27" t="s">
        <v>478</v>
      </c>
      <c r="E184" s="26" t="s">
        <v>140</v>
      </c>
      <c r="F184" s="25" t="s">
        <v>1264</v>
      </c>
      <c r="G184" s="120">
        <v>7246622</v>
      </c>
      <c r="H184" s="164">
        <f>100-(I184/G184*100)</f>
        <v>3.904384691239585</v>
      </c>
      <c r="I184" s="120">
        <v>6963686</v>
      </c>
      <c r="J184" s="120">
        <f>3000000-2900000</f>
        <v>100000</v>
      </c>
    </row>
    <row r="185" spans="1:10" ht="25.5">
      <c r="A185" s="27" t="s">
        <v>187</v>
      </c>
      <c r="B185" s="15" t="s">
        <v>63</v>
      </c>
      <c r="C185" s="27" t="s">
        <v>839</v>
      </c>
      <c r="D185" s="27" t="s">
        <v>478</v>
      </c>
      <c r="E185" s="26" t="s">
        <v>140</v>
      </c>
      <c r="F185" s="25" t="s">
        <v>1297</v>
      </c>
      <c r="G185" s="120">
        <v>8942951</v>
      </c>
      <c r="H185" s="164">
        <f>100-(I185/G185*100)</f>
        <v>85.78743191145742</v>
      </c>
      <c r="I185" s="120">
        <v>1271023</v>
      </c>
      <c r="J185" s="120">
        <v>770466</v>
      </c>
    </row>
    <row r="186" spans="1:10" ht="64.5" customHeight="1">
      <c r="A186" s="27" t="s">
        <v>187</v>
      </c>
      <c r="B186" s="15" t="s">
        <v>63</v>
      </c>
      <c r="C186" s="27" t="s">
        <v>839</v>
      </c>
      <c r="D186" s="27" t="s">
        <v>478</v>
      </c>
      <c r="E186" s="26" t="s">
        <v>140</v>
      </c>
      <c r="F186" s="25" t="s">
        <v>1228</v>
      </c>
      <c r="G186" s="120">
        <v>1685270</v>
      </c>
      <c r="H186" s="164">
        <f>100-(I186/G186*100)</f>
        <v>8.983783013997765</v>
      </c>
      <c r="I186" s="120">
        <v>1533869</v>
      </c>
      <c r="J186" s="120">
        <v>1516743</v>
      </c>
    </row>
    <row r="187" spans="1:10" ht="12.75" hidden="1">
      <c r="A187" s="27"/>
      <c r="B187" s="15"/>
      <c r="C187" s="15"/>
      <c r="D187" s="27"/>
      <c r="E187" s="26"/>
      <c r="F187" s="98"/>
      <c r="G187" s="120"/>
      <c r="H187" s="165"/>
      <c r="I187" s="120"/>
      <c r="J187" s="120"/>
    </row>
    <row r="188" spans="1:10" ht="12.75" hidden="1">
      <c r="A188" s="27"/>
      <c r="B188" s="15"/>
      <c r="C188" s="15"/>
      <c r="D188" s="27"/>
      <c r="E188" s="26"/>
      <c r="F188" s="98"/>
      <c r="G188" s="120"/>
      <c r="H188" s="165"/>
      <c r="I188" s="120"/>
      <c r="J188" s="120"/>
    </row>
    <row r="189" spans="1:10" ht="12.75" hidden="1">
      <c r="A189" s="27"/>
      <c r="B189" s="15"/>
      <c r="C189" s="15"/>
      <c r="D189" s="27"/>
      <c r="E189" s="26"/>
      <c r="F189" s="98"/>
      <c r="G189" s="120"/>
      <c r="H189" s="165"/>
      <c r="I189" s="120"/>
      <c r="J189" s="120"/>
    </row>
    <row r="190" spans="1:10" ht="12.75" hidden="1">
      <c r="A190" s="27"/>
      <c r="B190" s="15"/>
      <c r="C190" s="15"/>
      <c r="D190" s="27"/>
      <c r="E190" s="26"/>
      <c r="F190" s="98"/>
      <c r="G190" s="120"/>
      <c r="H190" s="165"/>
      <c r="I190" s="120"/>
      <c r="J190" s="120"/>
    </row>
    <row r="191" spans="1:12" ht="25.5">
      <c r="A191" s="31" t="s">
        <v>188</v>
      </c>
      <c r="B191" s="31" t="s">
        <v>122</v>
      </c>
      <c r="C191" s="31" t="s">
        <v>122</v>
      </c>
      <c r="D191" s="31"/>
      <c r="E191" s="30" t="s">
        <v>107</v>
      </c>
      <c r="F191" s="30"/>
      <c r="G191" s="150">
        <f>G192</f>
        <v>0</v>
      </c>
      <c r="H191" s="166"/>
      <c r="I191" s="150">
        <f>I192</f>
        <v>0</v>
      </c>
      <c r="J191" s="150">
        <f>J192</f>
        <v>108583</v>
      </c>
      <c r="L191" s="122">
        <f>J191-'[1]Місто'!$P$250</f>
        <v>0</v>
      </c>
    </row>
    <row r="192" spans="1:10" ht="25.5">
      <c r="A192" s="18" t="s">
        <v>189</v>
      </c>
      <c r="B192" s="18"/>
      <c r="C192" s="18"/>
      <c r="D192" s="18"/>
      <c r="E192" s="26" t="s">
        <v>107</v>
      </c>
      <c r="F192" s="98"/>
      <c r="G192" s="120">
        <f>G193+G195+G197</f>
        <v>0</v>
      </c>
      <c r="H192" s="165"/>
      <c r="I192" s="120">
        <f>I193+I195+I197</f>
        <v>0</v>
      </c>
      <c r="J192" s="120">
        <f>J193+J195+J197</f>
        <v>108583</v>
      </c>
    </row>
    <row r="193" spans="1:10" ht="12.75" hidden="1">
      <c r="A193" s="62" t="s">
        <v>575</v>
      </c>
      <c r="B193" s="61" t="s">
        <v>567</v>
      </c>
      <c r="C193" s="61" t="s">
        <v>833</v>
      </c>
      <c r="D193" s="61"/>
      <c r="E193" s="72" t="s">
        <v>569</v>
      </c>
      <c r="F193" s="98"/>
      <c r="G193" s="120"/>
      <c r="H193" s="165"/>
      <c r="I193" s="120"/>
      <c r="J193" s="120">
        <f>J194</f>
        <v>0</v>
      </c>
    </row>
    <row r="194" spans="1:10" ht="12.75" hidden="1">
      <c r="A194" s="27" t="s">
        <v>4</v>
      </c>
      <c r="B194" s="15" t="s">
        <v>30</v>
      </c>
      <c r="C194" s="27" t="s">
        <v>515</v>
      </c>
      <c r="D194" s="27" t="s">
        <v>476</v>
      </c>
      <c r="E194" s="28" t="s">
        <v>262</v>
      </c>
      <c r="F194" s="98"/>
      <c r="G194" s="120"/>
      <c r="H194" s="165"/>
      <c r="I194" s="120"/>
      <c r="J194" s="120">
        <v>0</v>
      </c>
    </row>
    <row r="195" spans="1:10" s="2" customFormat="1" ht="13.5" customHeight="1">
      <c r="A195" s="65" t="s">
        <v>915</v>
      </c>
      <c r="B195" s="65" t="s">
        <v>522</v>
      </c>
      <c r="C195" s="65" t="s">
        <v>855</v>
      </c>
      <c r="D195" s="65"/>
      <c r="E195" s="68" t="s">
        <v>524</v>
      </c>
      <c r="F195" s="102"/>
      <c r="G195" s="130"/>
      <c r="H195" s="169"/>
      <c r="I195" s="130"/>
      <c r="J195" s="130">
        <f>J196</f>
        <v>108583</v>
      </c>
    </row>
    <row r="196" spans="1:10" ht="78" customHeight="1">
      <c r="A196" s="27" t="s">
        <v>740</v>
      </c>
      <c r="B196" s="6" t="s">
        <v>29</v>
      </c>
      <c r="C196" s="6" t="s">
        <v>490</v>
      </c>
      <c r="D196" s="6" t="s">
        <v>480</v>
      </c>
      <c r="E196" s="9" t="s">
        <v>1260</v>
      </c>
      <c r="F196" s="126" t="s">
        <v>1110</v>
      </c>
      <c r="G196" s="120"/>
      <c r="H196" s="165"/>
      <c r="I196" s="120"/>
      <c r="J196" s="120">
        <f>'[1]Місто'!$P$255</f>
        <v>108583</v>
      </c>
    </row>
    <row r="197" spans="1:10" s="2" customFormat="1" ht="12.75" hidden="1">
      <c r="A197" s="65" t="s">
        <v>918</v>
      </c>
      <c r="B197" s="65" t="s">
        <v>525</v>
      </c>
      <c r="C197" s="65" t="s">
        <v>863</v>
      </c>
      <c r="D197" s="65"/>
      <c r="E197" s="68" t="s">
        <v>527</v>
      </c>
      <c r="F197" s="102"/>
      <c r="G197" s="130"/>
      <c r="H197" s="169"/>
      <c r="I197" s="130"/>
      <c r="J197" s="130">
        <f>J198</f>
        <v>0</v>
      </c>
    </row>
    <row r="198" spans="1:10" ht="25.5" hidden="1">
      <c r="A198" s="27" t="s">
        <v>744</v>
      </c>
      <c r="B198" s="6"/>
      <c r="C198" s="6" t="s">
        <v>916</v>
      </c>
      <c r="D198" s="6"/>
      <c r="E198" s="25" t="s">
        <v>743</v>
      </c>
      <c r="F198" s="98"/>
      <c r="G198" s="120"/>
      <c r="H198" s="165"/>
      <c r="I198" s="120"/>
      <c r="J198" s="120">
        <f>J199</f>
        <v>0</v>
      </c>
    </row>
    <row r="199" spans="1:10" ht="24.75" customHeight="1" hidden="1">
      <c r="A199" s="27" t="s">
        <v>741</v>
      </c>
      <c r="B199" s="6" t="s">
        <v>738</v>
      </c>
      <c r="C199" s="6" t="s">
        <v>917</v>
      </c>
      <c r="D199" s="6" t="s">
        <v>739</v>
      </c>
      <c r="E199" s="9" t="s">
        <v>742</v>
      </c>
      <c r="F199" s="98"/>
      <c r="G199" s="120"/>
      <c r="H199" s="165"/>
      <c r="I199" s="120"/>
      <c r="J199" s="120">
        <v>0</v>
      </c>
    </row>
    <row r="200" spans="1:12" s="2" customFormat="1" ht="36.75" customHeight="1" hidden="1">
      <c r="A200" s="10" t="s">
        <v>190</v>
      </c>
      <c r="B200" s="10" t="s">
        <v>118</v>
      </c>
      <c r="C200" s="10" t="s">
        <v>118</v>
      </c>
      <c r="D200" s="10"/>
      <c r="E200" s="12" t="s">
        <v>696</v>
      </c>
      <c r="F200" s="12"/>
      <c r="G200" s="152"/>
      <c r="H200" s="170"/>
      <c r="I200" s="152"/>
      <c r="J200" s="152">
        <f>J201</f>
        <v>0</v>
      </c>
      <c r="L200" s="122">
        <v>0</v>
      </c>
    </row>
    <row r="201" spans="1:10" s="2" customFormat="1" ht="37.5" customHeight="1" hidden="1">
      <c r="A201" s="6" t="s">
        <v>191</v>
      </c>
      <c r="B201" s="6"/>
      <c r="C201" s="6" t="s">
        <v>855</v>
      </c>
      <c r="D201" s="6"/>
      <c r="E201" s="70" t="s">
        <v>696</v>
      </c>
      <c r="F201" s="102"/>
      <c r="G201" s="130"/>
      <c r="H201" s="169"/>
      <c r="I201" s="130"/>
      <c r="J201" s="130">
        <f>J202</f>
        <v>0</v>
      </c>
    </row>
    <row r="202" spans="1:10" s="2" customFormat="1" ht="12.75" hidden="1">
      <c r="A202" s="66" t="s">
        <v>576</v>
      </c>
      <c r="B202" s="65" t="s">
        <v>567</v>
      </c>
      <c r="C202" s="65" t="s">
        <v>833</v>
      </c>
      <c r="D202" s="65"/>
      <c r="E202" s="70" t="s">
        <v>569</v>
      </c>
      <c r="F202" s="102"/>
      <c r="G202" s="130"/>
      <c r="H202" s="169"/>
      <c r="I202" s="130"/>
      <c r="J202" s="130">
        <f>J203</f>
        <v>0</v>
      </c>
    </row>
    <row r="203" spans="1:10" s="2" customFormat="1" ht="25.5" hidden="1">
      <c r="A203" s="5" t="s">
        <v>5</v>
      </c>
      <c r="B203" s="5" t="s">
        <v>30</v>
      </c>
      <c r="C203" s="5" t="s">
        <v>515</v>
      </c>
      <c r="D203" s="5" t="s">
        <v>476</v>
      </c>
      <c r="E203" s="28" t="s">
        <v>766</v>
      </c>
      <c r="F203" s="102"/>
      <c r="G203" s="130"/>
      <c r="H203" s="169"/>
      <c r="I203" s="130"/>
      <c r="J203" s="130">
        <v>0</v>
      </c>
    </row>
    <row r="204" spans="1:12" ht="25.5">
      <c r="A204" s="31" t="s">
        <v>192</v>
      </c>
      <c r="B204" s="31" t="s">
        <v>127</v>
      </c>
      <c r="C204" s="31" t="s">
        <v>127</v>
      </c>
      <c r="D204" s="31"/>
      <c r="E204" s="30" t="s">
        <v>681</v>
      </c>
      <c r="F204" s="30"/>
      <c r="G204" s="150">
        <f>G205</f>
        <v>15272815</v>
      </c>
      <c r="H204" s="166"/>
      <c r="I204" s="150">
        <f>I205</f>
        <v>10955616</v>
      </c>
      <c r="J204" s="150">
        <f>J205</f>
        <v>14263900</v>
      </c>
      <c r="L204" s="122">
        <f>J204-'[1]Місто'!$P$263</f>
        <v>0</v>
      </c>
    </row>
    <row r="205" spans="1:12" ht="25.5">
      <c r="A205" s="29" t="s">
        <v>193</v>
      </c>
      <c r="B205" s="18"/>
      <c r="C205" s="18"/>
      <c r="D205" s="18"/>
      <c r="E205" s="37" t="s">
        <v>681</v>
      </c>
      <c r="F205" s="98"/>
      <c r="G205" s="120">
        <f>G206+G208+G220+G225</f>
        <v>15272815</v>
      </c>
      <c r="H205" s="165"/>
      <c r="I205" s="120">
        <f>I206+I208+I220+I225</f>
        <v>10955616</v>
      </c>
      <c r="J205" s="120">
        <f>J206+J208+J220+J225</f>
        <v>14263900</v>
      </c>
      <c r="L205" s="122"/>
    </row>
    <row r="206" spans="1:12" ht="12.75">
      <c r="A206" s="62" t="s">
        <v>577</v>
      </c>
      <c r="B206" s="61" t="s">
        <v>567</v>
      </c>
      <c r="C206" s="61" t="s">
        <v>833</v>
      </c>
      <c r="D206" s="61"/>
      <c r="E206" s="73" t="s">
        <v>569</v>
      </c>
      <c r="F206" s="98"/>
      <c r="G206" s="120"/>
      <c r="H206" s="165"/>
      <c r="I206" s="120"/>
      <c r="J206" s="120">
        <f>J207</f>
        <v>1546654</v>
      </c>
      <c r="L206" s="122"/>
    </row>
    <row r="207" spans="1:12" ht="25.5">
      <c r="A207" s="27" t="s">
        <v>6</v>
      </c>
      <c r="B207" s="15" t="s">
        <v>30</v>
      </c>
      <c r="C207" s="27" t="s">
        <v>515</v>
      </c>
      <c r="D207" s="27" t="s">
        <v>476</v>
      </c>
      <c r="E207" s="28" t="s">
        <v>772</v>
      </c>
      <c r="F207" s="126" t="s">
        <v>1110</v>
      </c>
      <c r="G207" s="120"/>
      <c r="H207" s="165"/>
      <c r="I207" s="120"/>
      <c r="J207" s="120">
        <f>'[1]Місто'!$P$266</f>
        <v>1546654</v>
      </c>
      <c r="L207" s="122"/>
    </row>
    <row r="208" spans="1:12" ht="12.75">
      <c r="A208" s="62" t="s">
        <v>554</v>
      </c>
      <c r="B208" s="62" t="s">
        <v>555</v>
      </c>
      <c r="C208" s="62" t="s">
        <v>919</v>
      </c>
      <c r="D208" s="62"/>
      <c r="E208" s="63" t="s">
        <v>553</v>
      </c>
      <c r="F208" s="98"/>
      <c r="G208" s="120"/>
      <c r="H208" s="165"/>
      <c r="I208" s="120"/>
      <c r="J208" s="120">
        <f>J209+J210+J211+J212+J213+J214</f>
        <v>11241696</v>
      </c>
      <c r="L208" s="122"/>
    </row>
    <row r="209" spans="1:12" ht="12.75">
      <c r="A209" s="27" t="s">
        <v>194</v>
      </c>
      <c r="B209" s="15">
        <v>110102</v>
      </c>
      <c r="C209" s="27" t="s">
        <v>920</v>
      </c>
      <c r="D209" s="27" t="s">
        <v>503</v>
      </c>
      <c r="E209" s="25" t="s">
        <v>46</v>
      </c>
      <c r="F209" s="126" t="s">
        <v>1110</v>
      </c>
      <c r="G209" s="120"/>
      <c r="H209" s="165"/>
      <c r="I209" s="120"/>
      <c r="J209" s="120">
        <f>'[1]Місто'!$P$268</f>
        <v>808480</v>
      </c>
      <c r="L209" s="122"/>
    </row>
    <row r="210" spans="1:12" ht="12.75">
      <c r="A210" s="27" t="s">
        <v>195</v>
      </c>
      <c r="B210" s="15">
        <v>110201</v>
      </c>
      <c r="C210" s="27" t="s">
        <v>921</v>
      </c>
      <c r="D210" s="27" t="s">
        <v>504</v>
      </c>
      <c r="E210" s="25" t="s">
        <v>47</v>
      </c>
      <c r="F210" s="126" t="s">
        <v>1110</v>
      </c>
      <c r="G210" s="120"/>
      <c r="H210" s="165"/>
      <c r="I210" s="120"/>
      <c r="J210" s="120">
        <f>'[1]Місто'!$P$269</f>
        <v>1350433</v>
      </c>
      <c r="L210" s="122"/>
    </row>
    <row r="211" spans="1:12" ht="26.25" customHeight="1">
      <c r="A211" s="27" t="s">
        <v>196</v>
      </c>
      <c r="B211" s="15">
        <v>110204</v>
      </c>
      <c r="C211" s="27" t="s">
        <v>922</v>
      </c>
      <c r="D211" s="27" t="s">
        <v>505</v>
      </c>
      <c r="E211" s="25" t="s">
        <v>68</v>
      </c>
      <c r="F211" s="126" t="s">
        <v>1110</v>
      </c>
      <c r="G211" s="120"/>
      <c r="H211" s="165"/>
      <c r="I211" s="120"/>
      <c r="J211" s="120">
        <f>'[1]Місто'!$P$270</f>
        <v>5182870</v>
      </c>
      <c r="L211" s="122"/>
    </row>
    <row r="212" spans="1:12" ht="12.75">
      <c r="A212" s="27" t="s">
        <v>281</v>
      </c>
      <c r="B212" s="15">
        <v>110205</v>
      </c>
      <c r="C212" s="27" t="s">
        <v>923</v>
      </c>
      <c r="D212" s="27" t="s">
        <v>483</v>
      </c>
      <c r="E212" s="25" t="s">
        <v>48</v>
      </c>
      <c r="F212" s="126" t="s">
        <v>1110</v>
      </c>
      <c r="G212" s="120"/>
      <c r="H212" s="165"/>
      <c r="I212" s="120"/>
      <c r="J212" s="120">
        <f>'[1]Місто'!$P$271</f>
        <v>3899913</v>
      </c>
      <c r="L212" s="122"/>
    </row>
    <row r="213" spans="1:12" ht="12.75" hidden="1">
      <c r="A213" s="27" t="s">
        <v>197</v>
      </c>
      <c r="B213" s="15" t="s">
        <v>76</v>
      </c>
      <c r="C213" s="27" t="s">
        <v>924</v>
      </c>
      <c r="D213" s="27" t="s">
        <v>506</v>
      </c>
      <c r="E213" s="14" t="s">
        <v>77</v>
      </c>
      <c r="F213" s="98"/>
      <c r="G213" s="120"/>
      <c r="H213" s="165"/>
      <c r="I213" s="120"/>
      <c r="J213" s="120">
        <v>0</v>
      </c>
      <c r="L213" s="122">
        <v>0</v>
      </c>
    </row>
    <row r="214" spans="1:12" ht="12.75" hidden="1">
      <c r="A214" s="45" t="s">
        <v>455</v>
      </c>
      <c r="B214" s="45" t="s">
        <v>198</v>
      </c>
      <c r="C214" s="45" t="s">
        <v>925</v>
      </c>
      <c r="D214" s="45" t="s">
        <v>507</v>
      </c>
      <c r="E214" s="47" t="s">
        <v>349</v>
      </c>
      <c r="F214" s="98"/>
      <c r="G214" s="120"/>
      <c r="H214" s="165"/>
      <c r="I214" s="120"/>
      <c r="J214" s="120">
        <f>SUM(J215:J219)</f>
        <v>0</v>
      </c>
      <c r="L214" s="122">
        <v>0</v>
      </c>
    </row>
    <row r="215" spans="1:12" ht="25.5" hidden="1">
      <c r="A215" s="27" t="s">
        <v>456</v>
      </c>
      <c r="B215" s="15">
        <v>110502</v>
      </c>
      <c r="C215" s="27" t="s">
        <v>926</v>
      </c>
      <c r="D215" s="27" t="s">
        <v>507</v>
      </c>
      <c r="E215" s="14" t="s">
        <v>199</v>
      </c>
      <c r="F215" s="98"/>
      <c r="G215" s="120"/>
      <c r="H215" s="165"/>
      <c r="I215" s="120"/>
      <c r="J215" s="120">
        <v>0</v>
      </c>
      <c r="L215" s="122">
        <v>0</v>
      </c>
    </row>
    <row r="216" spans="1:12" ht="12.75" hidden="1">
      <c r="A216" s="27" t="s">
        <v>457</v>
      </c>
      <c r="B216" s="27" t="s">
        <v>198</v>
      </c>
      <c r="C216" s="27" t="s">
        <v>927</v>
      </c>
      <c r="D216" s="27" t="s">
        <v>507</v>
      </c>
      <c r="E216" s="25" t="s">
        <v>424</v>
      </c>
      <c r="F216" s="98"/>
      <c r="G216" s="120"/>
      <c r="H216" s="165"/>
      <c r="I216" s="120"/>
      <c r="J216" s="120">
        <v>0</v>
      </c>
      <c r="L216" s="122">
        <v>0</v>
      </c>
    </row>
    <row r="217" spans="1:12" ht="12.75" hidden="1">
      <c r="A217" s="27" t="s">
        <v>458</v>
      </c>
      <c r="B217" s="27" t="s">
        <v>198</v>
      </c>
      <c r="C217" s="27" t="s">
        <v>928</v>
      </c>
      <c r="D217" s="27" t="s">
        <v>507</v>
      </c>
      <c r="E217" s="14" t="s">
        <v>200</v>
      </c>
      <c r="F217" s="98"/>
      <c r="G217" s="120"/>
      <c r="H217" s="165"/>
      <c r="I217" s="120"/>
      <c r="J217" s="120">
        <v>0</v>
      </c>
      <c r="L217" s="122">
        <v>0</v>
      </c>
    </row>
    <row r="218" spans="1:12" ht="25.5" hidden="1">
      <c r="A218" s="27" t="s">
        <v>459</v>
      </c>
      <c r="B218" s="27" t="s">
        <v>198</v>
      </c>
      <c r="C218" s="27" t="s">
        <v>929</v>
      </c>
      <c r="D218" s="27" t="s">
        <v>507</v>
      </c>
      <c r="E218" s="14" t="s">
        <v>201</v>
      </c>
      <c r="F218" s="98"/>
      <c r="G218" s="120"/>
      <c r="H218" s="165"/>
      <c r="I218" s="120"/>
      <c r="J218" s="120">
        <v>0</v>
      </c>
      <c r="L218" s="122">
        <v>0</v>
      </c>
    </row>
    <row r="219" spans="1:12" ht="25.5" hidden="1">
      <c r="A219" s="27" t="s">
        <v>460</v>
      </c>
      <c r="B219" s="27" t="s">
        <v>198</v>
      </c>
      <c r="C219" s="27" t="s">
        <v>930</v>
      </c>
      <c r="D219" s="27" t="s">
        <v>507</v>
      </c>
      <c r="E219" s="14" t="s">
        <v>202</v>
      </c>
      <c r="F219" s="98"/>
      <c r="G219" s="120"/>
      <c r="H219" s="165"/>
      <c r="I219" s="120"/>
      <c r="J219" s="120">
        <v>0</v>
      </c>
      <c r="L219" s="122"/>
    </row>
    <row r="220" spans="1:12" ht="12.75">
      <c r="A220" s="62" t="s">
        <v>556</v>
      </c>
      <c r="B220" s="62" t="s">
        <v>530</v>
      </c>
      <c r="C220" s="62" t="s">
        <v>838</v>
      </c>
      <c r="D220" s="62"/>
      <c r="E220" s="64" t="s">
        <v>532</v>
      </c>
      <c r="F220" s="98"/>
      <c r="G220" s="120">
        <f>G221</f>
        <v>15272815</v>
      </c>
      <c r="H220" s="164"/>
      <c r="I220" s="120">
        <f>I221</f>
        <v>10955616</v>
      </c>
      <c r="J220" s="120">
        <f>J221</f>
        <v>1475550</v>
      </c>
      <c r="L220" s="122"/>
    </row>
    <row r="221" spans="1:12" s="20" customFormat="1" ht="27.75" customHeight="1">
      <c r="A221" s="77" t="s">
        <v>203</v>
      </c>
      <c r="B221" s="77" t="s">
        <v>63</v>
      </c>
      <c r="C221" s="77" t="s">
        <v>839</v>
      </c>
      <c r="D221" s="77" t="s">
        <v>478</v>
      </c>
      <c r="E221" s="140" t="s">
        <v>140</v>
      </c>
      <c r="F221" s="103"/>
      <c r="G221" s="151">
        <f>SUM(G222:G224)</f>
        <v>15272815</v>
      </c>
      <c r="H221" s="163"/>
      <c r="I221" s="151">
        <f>SUM(I222:I224)</f>
        <v>10955616</v>
      </c>
      <c r="J221" s="151">
        <f>SUM(J222:J224)</f>
        <v>1475550</v>
      </c>
      <c r="K221" s="21"/>
      <c r="L221" s="122">
        <f>J221-'[1]Місто'!$P$280</f>
        <v>0</v>
      </c>
    </row>
    <row r="222" spans="1:12" s="20" customFormat="1" ht="27.75" customHeight="1">
      <c r="A222" s="27" t="s">
        <v>203</v>
      </c>
      <c r="B222" s="15" t="s">
        <v>63</v>
      </c>
      <c r="C222" s="27" t="s">
        <v>839</v>
      </c>
      <c r="D222" s="27" t="s">
        <v>478</v>
      </c>
      <c r="E222" s="25" t="s">
        <v>140</v>
      </c>
      <c r="F222" s="25" t="s">
        <v>981</v>
      </c>
      <c r="G222" s="120">
        <v>15272815</v>
      </c>
      <c r="H222" s="164">
        <f>100-(I222/G222*100)</f>
        <v>28.267212036549907</v>
      </c>
      <c r="I222" s="120">
        <v>10955616</v>
      </c>
      <c r="J222" s="120">
        <v>1475550</v>
      </c>
      <c r="K222" s="21"/>
      <c r="L222" s="122"/>
    </row>
    <row r="223" spans="1:12" s="20" customFormat="1" ht="12.75" hidden="1">
      <c r="A223" s="27"/>
      <c r="B223" s="15"/>
      <c r="C223" s="15"/>
      <c r="D223" s="27"/>
      <c r="E223" s="25"/>
      <c r="F223" s="100"/>
      <c r="G223" s="119"/>
      <c r="H223" s="164"/>
      <c r="I223" s="119"/>
      <c r="J223" s="119"/>
      <c r="K223" s="21"/>
      <c r="L223" s="122">
        <v>0</v>
      </c>
    </row>
    <row r="224" spans="1:12" s="20" customFormat="1" ht="12.75" hidden="1">
      <c r="A224" s="27"/>
      <c r="B224" s="15"/>
      <c r="C224" s="15"/>
      <c r="D224" s="27"/>
      <c r="E224" s="25"/>
      <c r="F224" s="100"/>
      <c r="G224" s="119"/>
      <c r="H224" s="164"/>
      <c r="I224" s="119"/>
      <c r="J224" s="119"/>
      <c r="K224" s="21"/>
      <c r="L224" s="122">
        <v>0</v>
      </c>
    </row>
    <row r="225" spans="1:12" s="20" customFormat="1" ht="25.5" hidden="1">
      <c r="A225" s="51" t="s">
        <v>428</v>
      </c>
      <c r="B225" s="51" t="s">
        <v>427</v>
      </c>
      <c r="C225" s="51" t="s">
        <v>873</v>
      </c>
      <c r="D225" s="51"/>
      <c r="E225" s="55" t="s">
        <v>429</v>
      </c>
      <c r="F225" s="100"/>
      <c r="G225" s="119"/>
      <c r="H225" s="164"/>
      <c r="I225" s="119"/>
      <c r="J225" s="119">
        <f>J226</f>
        <v>0</v>
      </c>
      <c r="K225" s="21"/>
      <c r="L225" s="122">
        <v>0</v>
      </c>
    </row>
    <row r="226" spans="1:12" s="20" customFormat="1" ht="12.75" hidden="1">
      <c r="A226" s="29" t="s">
        <v>430</v>
      </c>
      <c r="B226" s="29" t="s">
        <v>427</v>
      </c>
      <c r="C226" s="29" t="s">
        <v>874</v>
      </c>
      <c r="D226" s="29" t="s">
        <v>487</v>
      </c>
      <c r="E226" s="44" t="s">
        <v>431</v>
      </c>
      <c r="F226" s="100"/>
      <c r="G226" s="119"/>
      <c r="H226" s="164"/>
      <c r="I226" s="119"/>
      <c r="J226" s="119">
        <v>0</v>
      </c>
      <c r="K226" s="21"/>
      <c r="L226" s="122">
        <v>0</v>
      </c>
    </row>
    <row r="227" spans="1:12" ht="12.75">
      <c r="A227" s="31" t="s">
        <v>1353</v>
      </c>
      <c r="B227" s="31" t="s">
        <v>1354</v>
      </c>
      <c r="C227" s="31" t="s">
        <v>1354</v>
      </c>
      <c r="D227" s="31"/>
      <c r="E227" s="30" t="s">
        <v>1355</v>
      </c>
      <c r="F227" s="30"/>
      <c r="G227" s="150"/>
      <c r="H227" s="166"/>
      <c r="I227" s="150"/>
      <c r="J227" s="150">
        <f>J228</f>
        <v>143660</v>
      </c>
      <c r="L227" s="122">
        <f>J227-'[1]Місто'!$P$287</f>
        <v>0</v>
      </c>
    </row>
    <row r="228" spans="1:12" ht="12.75">
      <c r="A228" s="29" t="s">
        <v>1356</v>
      </c>
      <c r="B228" s="18"/>
      <c r="C228" s="18"/>
      <c r="D228" s="18"/>
      <c r="E228" s="28" t="s">
        <v>1355</v>
      </c>
      <c r="F228" s="98"/>
      <c r="G228" s="120"/>
      <c r="H228" s="165"/>
      <c r="I228" s="120"/>
      <c r="J228" s="120">
        <f>J229</f>
        <v>143660</v>
      </c>
      <c r="L228" s="122"/>
    </row>
    <row r="229" spans="1:12" ht="12.75">
      <c r="A229" s="29" t="s">
        <v>1357</v>
      </c>
      <c r="B229" s="18" t="s">
        <v>567</v>
      </c>
      <c r="C229" s="18" t="s">
        <v>833</v>
      </c>
      <c r="D229" s="18"/>
      <c r="E229" s="28" t="s">
        <v>569</v>
      </c>
      <c r="F229" s="98"/>
      <c r="G229" s="120"/>
      <c r="H229" s="165"/>
      <c r="I229" s="120"/>
      <c r="J229" s="120">
        <f>J230</f>
        <v>143660</v>
      </c>
      <c r="L229" s="122"/>
    </row>
    <row r="230" spans="1:12" ht="25.5">
      <c r="A230" s="29" t="s">
        <v>1358</v>
      </c>
      <c r="B230" s="18" t="s">
        <v>30</v>
      </c>
      <c r="C230" s="18" t="s">
        <v>515</v>
      </c>
      <c r="D230" s="18" t="s">
        <v>476</v>
      </c>
      <c r="E230" s="28" t="s">
        <v>1359</v>
      </c>
      <c r="F230" s="98"/>
      <c r="G230" s="120"/>
      <c r="H230" s="165"/>
      <c r="I230" s="120"/>
      <c r="J230" s="120">
        <f>'[1]Місто'!$P$290</f>
        <v>143660</v>
      </c>
      <c r="L230" s="122"/>
    </row>
    <row r="231" spans="1:12" ht="38.25">
      <c r="A231" s="31" t="s">
        <v>204</v>
      </c>
      <c r="B231" s="31" t="s">
        <v>126</v>
      </c>
      <c r="C231" s="31" t="s">
        <v>126</v>
      </c>
      <c r="D231" s="31"/>
      <c r="E231" s="30" t="s">
        <v>694</v>
      </c>
      <c r="F231" s="30"/>
      <c r="G231" s="150">
        <f>G232</f>
        <v>14778032</v>
      </c>
      <c r="H231" s="166"/>
      <c r="I231" s="150">
        <f>I232</f>
        <v>10080888</v>
      </c>
      <c r="J231" s="150">
        <f>J232</f>
        <v>5190788</v>
      </c>
      <c r="L231" s="122">
        <f>J231-'[1]Місто'!$P$291</f>
        <v>0</v>
      </c>
    </row>
    <row r="232" spans="1:12" ht="38.25">
      <c r="A232" s="29" t="s">
        <v>205</v>
      </c>
      <c r="B232" s="18"/>
      <c r="C232" s="18"/>
      <c r="D232" s="18"/>
      <c r="E232" s="28" t="s">
        <v>694</v>
      </c>
      <c r="F232" s="98"/>
      <c r="G232" s="120">
        <f>G233+G235+G243+G245</f>
        <v>14778032</v>
      </c>
      <c r="H232" s="165"/>
      <c r="I232" s="120">
        <f>I233+I235+I243+I245</f>
        <v>10080888</v>
      </c>
      <c r="J232" s="120">
        <f>J233+J235+J243+J245</f>
        <v>5190788</v>
      </c>
      <c r="L232" s="122"/>
    </row>
    <row r="233" spans="1:12" ht="12.75">
      <c r="A233" s="62" t="s">
        <v>578</v>
      </c>
      <c r="B233" s="61" t="s">
        <v>567</v>
      </c>
      <c r="C233" s="61" t="s">
        <v>833</v>
      </c>
      <c r="D233" s="61"/>
      <c r="E233" s="72" t="s">
        <v>569</v>
      </c>
      <c r="F233" s="98"/>
      <c r="G233" s="120"/>
      <c r="H233" s="165"/>
      <c r="I233" s="120"/>
      <c r="J233" s="120">
        <f>J234</f>
        <v>1911496</v>
      </c>
      <c r="L233" s="122"/>
    </row>
    <row r="234" spans="1:12" ht="38.25">
      <c r="A234" s="27" t="s">
        <v>7</v>
      </c>
      <c r="B234" s="15" t="s">
        <v>30</v>
      </c>
      <c r="C234" s="27" t="s">
        <v>515</v>
      </c>
      <c r="D234" s="27" t="s">
        <v>476</v>
      </c>
      <c r="E234" s="28" t="s">
        <v>818</v>
      </c>
      <c r="F234" s="126" t="s">
        <v>1110</v>
      </c>
      <c r="G234" s="120"/>
      <c r="H234" s="165"/>
      <c r="I234" s="120"/>
      <c r="J234" s="120">
        <f>'[1]Місто'!$P$294</f>
        <v>1911496</v>
      </c>
      <c r="L234" s="122"/>
    </row>
    <row r="235" spans="1:12" ht="12.75">
      <c r="A235" s="62" t="s">
        <v>557</v>
      </c>
      <c r="B235" s="62" t="s">
        <v>530</v>
      </c>
      <c r="C235" s="62" t="s">
        <v>838</v>
      </c>
      <c r="D235" s="62"/>
      <c r="E235" s="63" t="s">
        <v>532</v>
      </c>
      <c r="F235" s="98"/>
      <c r="G235" s="120">
        <f>G236</f>
        <v>14778032</v>
      </c>
      <c r="H235" s="164"/>
      <c r="I235" s="120">
        <f>I236</f>
        <v>10080888</v>
      </c>
      <c r="J235" s="120">
        <f>J236</f>
        <v>3279292</v>
      </c>
      <c r="L235" s="122"/>
    </row>
    <row r="236" spans="1:12" ht="25.5">
      <c r="A236" s="77" t="s">
        <v>279</v>
      </c>
      <c r="B236" s="77" t="s">
        <v>63</v>
      </c>
      <c r="C236" s="77" t="s">
        <v>839</v>
      </c>
      <c r="D236" s="77" t="s">
        <v>478</v>
      </c>
      <c r="E236" s="140" t="s">
        <v>140</v>
      </c>
      <c r="F236" s="142"/>
      <c r="G236" s="151">
        <f>SUM(G237:G242)</f>
        <v>14778032</v>
      </c>
      <c r="H236" s="163"/>
      <c r="I236" s="151">
        <f>SUM(I237:I242)</f>
        <v>10080888</v>
      </c>
      <c r="J236" s="151">
        <f>SUM(J237:J242)</f>
        <v>3279292</v>
      </c>
      <c r="L236" s="122">
        <f>J236-'[1]Місто'!$P$296</f>
        <v>0</v>
      </c>
    </row>
    <row r="237" spans="1:12" s="20" customFormat="1" ht="38.25">
      <c r="A237" s="42" t="s">
        <v>279</v>
      </c>
      <c r="B237" s="42" t="s">
        <v>63</v>
      </c>
      <c r="C237" s="27" t="s">
        <v>839</v>
      </c>
      <c r="D237" s="27" t="s">
        <v>478</v>
      </c>
      <c r="E237" s="43" t="s">
        <v>140</v>
      </c>
      <c r="F237" s="25" t="s">
        <v>1255</v>
      </c>
      <c r="G237" s="120">
        <f>142862+1579530</f>
        <v>1722392</v>
      </c>
      <c r="H237" s="164">
        <f aca="true" t="shared" si="2" ref="H237:H242">100-(I237/G237*100)</f>
        <v>0</v>
      </c>
      <c r="I237" s="120">
        <f>142862+1579530</f>
        <v>1722392</v>
      </c>
      <c r="J237" s="120">
        <f>142862+1579530</f>
        <v>1722392</v>
      </c>
      <c r="K237" s="21"/>
      <c r="L237" s="122"/>
    </row>
    <row r="238" spans="1:12" s="20" customFormat="1" ht="38.25">
      <c r="A238" s="42" t="s">
        <v>279</v>
      </c>
      <c r="B238" s="42" t="s">
        <v>63</v>
      </c>
      <c r="C238" s="27" t="s">
        <v>839</v>
      </c>
      <c r="D238" s="27" t="s">
        <v>478</v>
      </c>
      <c r="E238" s="43" t="s">
        <v>140</v>
      </c>
      <c r="F238" s="25" t="s">
        <v>1306</v>
      </c>
      <c r="G238" s="120">
        <v>4174758</v>
      </c>
      <c r="H238" s="164">
        <f t="shared" si="2"/>
        <v>32.25444444923514</v>
      </c>
      <c r="I238" s="120">
        <v>2828213</v>
      </c>
      <c r="J238" s="120">
        <v>150000</v>
      </c>
      <c r="K238" s="21"/>
      <c r="L238" s="122"/>
    </row>
    <row r="239" spans="1:12" s="20" customFormat="1" ht="38.25">
      <c r="A239" s="42" t="s">
        <v>279</v>
      </c>
      <c r="B239" s="42" t="s">
        <v>63</v>
      </c>
      <c r="C239" s="27" t="s">
        <v>839</v>
      </c>
      <c r="D239" s="27" t="s">
        <v>478</v>
      </c>
      <c r="E239" s="43" t="s">
        <v>140</v>
      </c>
      <c r="F239" s="25" t="s">
        <v>1256</v>
      </c>
      <c r="G239" s="120">
        <f>82177+840150</f>
        <v>922327</v>
      </c>
      <c r="H239" s="164">
        <f t="shared" si="2"/>
        <v>0</v>
      </c>
      <c r="I239" s="120">
        <f>82177+840150</f>
        <v>922327</v>
      </c>
      <c r="J239" s="120">
        <f>82177+840150</f>
        <v>922327</v>
      </c>
      <c r="K239" s="21"/>
      <c r="L239" s="122"/>
    </row>
    <row r="240" spans="1:12" s="20" customFormat="1" ht="25.5">
      <c r="A240" s="42" t="s">
        <v>279</v>
      </c>
      <c r="B240" s="42" t="s">
        <v>63</v>
      </c>
      <c r="C240" s="27" t="s">
        <v>839</v>
      </c>
      <c r="D240" s="27" t="s">
        <v>478</v>
      </c>
      <c r="E240" s="43" t="s">
        <v>140</v>
      </c>
      <c r="F240" s="25" t="s">
        <v>1307</v>
      </c>
      <c r="G240" s="120">
        <v>5394972</v>
      </c>
      <c r="H240" s="164">
        <f t="shared" si="2"/>
        <v>43.805954877986395</v>
      </c>
      <c r="I240" s="120">
        <v>3031653</v>
      </c>
      <c r="J240" s="120">
        <v>190000</v>
      </c>
      <c r="K240" s="21"/>
      <c r="L240" s="122"/>
    </row>
    <row r="241" spans="1:12" s="20" customFormat="1" ht="25.5">
      <c r="A241" s="42" t="s">
        <v>279</v>
      </c>
      <c r="B241" s="42" t="s">
        <v>63</v>
      </c>
      <c r="C241" s="27" t="s">
        <v>839</v>
      </c>
      <c r="D241" s="27" t="s">
        <v>478</v>
      </c>
      <c r="E241" s="43" t="s">
        <v>140</v>
      </c>
      <c r="F241" s="25" t="s">
        <v>1308</v>
      </c>
      <c r="G241" s="120">
        <v>2436365</v>
      </c>
      <c r="H241" s="164">
        <f t="shared" si="2"/>
        <v>36.37529680487119</v>
      </c>
      <c r="I241" s="120">
        <v>1550130</v>
      </c>
      <c r="J241" s="120">
        <v>268400</v>
      </c>
      <c r="K241" s="21"/>
      <c r="L241" s="122"/>
    </row>
    <row r="242" spans="1:12" s="20" customFormat="1" ht="38.25">
      <c r="A242" s="42" t="s">
        <v>279</v>
      </c>
      <c r="B242" s="42" t="s">
        <v>63</v>
      </c>
      <c r="C242" s="27" t="s">
        <v>839</v>
      </c>
      <c r="D242" s="27" t="s">
        <v>478</v>
      </c>
      <c r="E242" s="43" t="s">
        <v>140</v>
      </c>
      <c r="F242" s="25" t="s">
        <v>1254</v>
      </c>
      <c r="G242" s="120">
        <v>127218</v>
      </c>
      <c r="H242" s="164">
        <f t="shared" si="2"/>
        <v>79.42665346098822</v>
      </c>
      <c r="I242" s="120">
        <v>26173</v>
      </c>
      <c r="J242" s="120">
        <v>26173</v>
      </c>
      <c r="K242" s="21"/>
      <c r="L242" s="122"/>
    </row>
    <row r="243" spans="1:12" ht="25.5" hidden="1">
      <c r="A243" s="62" t="s">
        <v>558</v>
      </c>
      <c r="B243" s="62" t="s">
        <v>519</v>
      </c>
      <c r="C243" s="62" t="s">
        <v>841</v>
      </c>
      <c r="D243" s="62"/>
      <c r="E243" s="64" t="s">
        <v>521</v>
      </c>
      <c r="F243" s="98"/>
      <c r="G243" s="120"/>
      <c r="H243" s="165"/>
      <c r="I243" s="120"/>
      <c r="J243" s="120">
        <f>J244</f>
        <v>0</v>
      </c>
      <c r="L243" s="122"/>
    </row>
    <row r="244" spans="1:12" ht="25.5" hidden="1">
      <c r="A244" s="27" t="s">
        <v>461</v>
      </c>
      <c r="B244" s="27" t="s">
        <v>278</v>
      </c>
      <c r="C244" s="27" t="s">
        <v>931</v>
      </c>
      <c r="D244" s="27" t="s">
        <v>487</v>
      </c>
      <c r="E244" s="43" t="s">
        <v>423</v>
      </c>
      <c r="F244" s="98"/>
      <c r="G244" s="120"/>
      <c r="H244" s="165"/>
      <c r="I244" s="120"/>
      <c r="J244" s="120">
        <v>0</v>
      </c>
      <c r="L244" s="122"/>
    </row>
    <row r="245" spans="1:12" ht="12.75" hidden="1">
      <c r="A245" s="62" t="s">
        <v>579</v>
      </c>
      <c r="B245" s="62" t="s">
        <v>535</v>
      </c>
      <c r="C245" s="62" t="s">
        <v>843</v>
      </c>
      <c r="D245" s="62"/>
      <c r="E245" s="64" t="s">
        <v>536</v>
      </c>
      <c r="F245" s="98"/>
      <c r="G245" s="120"/>
      <c r="H245" s="165"/>
      <c r="I245" s="120"/>
      <c r="J245" s="120">
        <f>J246</f>
        <v>0</v>
      </c>
      <c r="L245" s="122"/>
    </row>
    <row r="246" spans="1:12" ht="12.75" hidden="1">
      <c r="A246" s="45" t="s">
        <v>353</v>
      </c>
      <c r="B246" s="45" t="s">
        <v>50</v>
      </c>
      <c r="C246" s="45" t="s">
        <v>845</v>
      </c>
      <c r="D246" s="45"/>
      <c r="E246" s="47" t="s">
        <v>350</v>
      </c>
      <c r="F246" s="98"/>
      <c r="G246" s="120"/>
      <c r="H246" s="165"/>
      <c r="I246" s="120"/>
      <c r="J246" s="120">
        <f>SUM(J247:J248)</f>
        <v>0</v>
      </c>
      <c r="L246" s="122"/>
    </row>
    <row r="247" spans="1:12" ht="38.25" hidden="1">
      <c r="A247" s="27" t="s">
        <v>311</v>
      </c>
      <c r="B247" s="15" t="s">
        <v>50</v>
      </c>
      <c r="C247" s="27" t="s">
        <v>851</v>
      </c>
      <c r="D247" s="27" t="s">
        <v>479</v>
      </c>
      <c r="E247" s="28" t="s">
        <v>142</v>
      </c>
      <c r="F247" s="98"/>
      <c r="G247" s="120"/>
      <c r="H247" s="165"/>
      <c r="I247" s="120"/>
      <c r="J247" s="120">
        <v>0</v>
      </c>
      <c r="L247" s="122"/>
    </row>
    <row r="248" spans="1:12" s="2" customFormat="1" ht="38.25" hidden="1">
      <c r="A248" s="6" t="s">
        <v>749</v>
      </c>
      <c r="B248" s="6" t="s">
        <v>50</v>
      </c>
      <c r="C248" s="6" t="s">
        <v>847</v>
      </c>
      <c r="D248" s="6" t="s">
        <v>479</v>
      </c>
      <c r="E248" s="44" t="s">
        <v>737</v>
      </c>
      <c r="F248" s="102"/>
      <c r="G248" s="130"/>
      <c r="H248" s="169"/>
      <c r="I248" s="130"/>
      <c r="J248" s="130">
        <v>0</v>
      </c>
      <c r="L248" s="122"/>
    </row>
    <row r="249" spans="1:12" ht="12.75">
      <c r="A249" s="31" t="s">
        <v>661</v>
      </c>
      <c r="B249" s="31" t="s">
        <v>665</v>
      </c>
      <c r="C249" s="31" t="s">
        <v>665</v>
      </c>
      <c r="D249" s="31"/>
      <c r="E249" s="30" t="s">
        <v>666</v>
      </c>
      <c r="F249" s="30"/>
      <c r="G249" s="150"/>
      <c r="H249" s="166"/>
      <c r="I249" s="150"/>
      <c r="J249" s="150">
        <f>J250</f>
        <v>112200</v>
      </c>
      <c r="L249" s="122">
        <f>J249-'[1]Місто'!$P$303</f>
        <v>0</v>
      </c>
    </row>
    <row r="250" spans="1:12" ht="12.75">
      <c r="A250" s="29" t="s">
        <v>662</v>
      </c>
      <c r="B250" s="18"/>
      <c r="C250" s="18"/>
      <c r="D250" s="18"/>
      <c r="E250" s="26" t="s">
        <v>666</v>
      </c>
      <c r="F250" s="98"/>
      <c r="G250" s="120"/>
      <c r="H250" s="165"/>
      <c r="I250" s="120"/>
      <c r="J250" s="120">
        <f>J251</f>
        <v>112200</v>
      </c>
      <c r="L250" s="122"/>
    </row>
    <row r="251" spans="1:12" ht="12.75">
      <c r="A251" s="62" t="s">
        <v>663</v>
      </c>
      <c r="B251" s="61" t="s">
        <v>567</v>
      </c>
      <c r="C251" s="61" t="s">
        <v>833</v>
      </c>
      <c r="D251" s="61"/>
      <c r="E251" s="72" t="s">
        <v>569</v>
      </c>
      <c r="F251" s="98"/>
      <c r="G251" s="120"/>
      <c r="H251" s="165"/>
      <c r="I251" s="120"/>
      <c r="J251" s="120">
        <f>J252</f>
        <v>112200</v>
      </c>
      <c r="L251" s="122"/>
    </row>
    <row r="252" spans="1:12" ht="51">
      <c r="A252" s="27" t="s">
        <v>664</v>
      </c>
      <c r="B252" s="15" t="s">
        <v>30</v>
      </c>
      <c r="C252" s="27" t="s">
        <v>515</v>
      </c>
      <c r="D252" s="27" t="s">
        <v>476</v>
      </c>
      <c r="E252" s="28" t="s">
        <v>819</v>
      </c>
      <c r="F252" s="126" t="s">
        <v>1110</v>
      </c>
      <c r="G252" s="120"/>
      <c r="H252" s="165"/>
      <c r="I252" s="120"/>
      <c r="J252" s="120">
        <f>'[1]Місто'!$P$306</f>
        <v>112200</v>
      </c>
      <c r="L252" s="122"/>
    </row>
    <row r="253" spans="1:12" ht="42" customHeight="1">
      <c r="A253" s="39" t="s">
        <v>206</v>
      </c>
      <c r="B253" s="39" t="s">
        <v>124</v>
      </c>
      <c r="C253" s="31" t="s">
        <v>124</v>
      </c>
      <c r="D253" s="39"/>
      <c r="E253" s="30" t="s">
        <v>755</v>
      </c>
      <c r="F253" s="30"/>
      <c r="G253" s="150">
        <f>G254</f>
        <v>97342621</v>
      </c>
      <c r="H253" s="166"/>
      <c r="I253" s="150">
        <f>I254</f>
        <v>68014652</v>
      </c>
      <c r="J253" s="150">
        <f>J254</f>
        <v>590620432</v>
      </c>
      <c r="L253" s="122">
        <f>J253-'[1]Місто'!$P$307</f>
        <v>0</v>
      </c>
    </row>
    <row r="254" spans="1:12" ht="40.5" customHeight="1">
      <c r="A254" s="29" t="s">
        <v>207</v>
      </c>
      <c r="B254" s="18"/>
      <c r="C254" s="18"/>
      <c r="D254" s="18"/>
      <c r="E254" s="44" t="s">
        <v>773</v>
      </c>
      <c r="F254" s="98"/>
      <c r="G254" s="120">
        <f>G255+G257+G266+G303+G309+G300</f>
        <v>97342621</v>
      </c>
      <c r="H254" s="165"/>
      <c r="I254" s="120">
        <f>I255+I257+I266+I303+I309+I300</f>
        <v>68014652</v>
      </c>
      <c r="J254" s="120">
        <f>J255+J257+J266+J303+J309+J300</f>
        <v>590620432</v>
      </c>
      <c r="L254" s="122"/>
    </row>
    <row r="255" spans="1:12" ht="12.75">
      <c r="A255" s="62" t="s">
        <v>580</v>
      </c>
      <c r="B255" s="61" t="s">
        <v>567</v>
      </c>
      <c r="C255" s="61" t="s">
        <v>833</v>
      </c>
      <c r="D255" s="61"/>
      <c r="E255" s="69" t="s">
        <v>569</v>
      </c>
      <c r="F255" s="98"/>
      <c r="G255" s="120"/>
      <c r="H255" s="165"/>
      <c r="I255" s="120"/>
      <c r="J255" s="120">
        <f>J256</f>
        <v>806216</v>
      </c>
      <c r="L255" s="122"/>
    </row>
    <row r="256" spans="1:12" ht="30" customHeight="1">
      <c r="A256" s="27" t="s">
        <v>8</v>
      </c>
      <c r="B256" s="15" t="s">
        <v>30</v>
      </c>
      <c r="C256" s="27" t="s">
        <v>515</v>
      </c>
      <c r="D256" s="27" t="s">
        <v>476</v>
      </c>
      <c r="E256" s="28" t="s">
        <v>268</v>
      </c>
      <c r="F256" s="98"/>
      <c r="G256" s="120"/>
      <c r="H256" s="165"/>
      <c r="I256" s="120"/>
      <c r="J256" s="120">
        <f>'[1]Місто'!$P$310</f>
        <v>806216</v>
      </c>
      <c r="L256" s="122"/>
    </row>
    <row r="257" spans="1:12" ht="12.75">
      <c r="A257" s="62" t="s">
        <v>560</v>
      </c>
      <c r="B257" s="62" t="s">
        <v>559</v>
      </c>
      <c r="C257" s="62" t="s">
        <v>932</v>
      </c>
      <c r="D257" s="62"/>
      <c r="E257" s="72" t="s">
        <v>561</v>
      </c>
      <c r="F257" s="98"/>
      <c r="G257" s="120"/>
      <c r="H257" s="165"/>
      <c r="I257" s="120"/>
      <c r="J257" s="120">
        <f>J258+J259+J262+J265+J263</f>
        <v>506829403</v>
      </c>
      <c r="L257" s="122"/>
    </row>
    <row r="258" spans="1:12" ht="51.75" customHeight="1" hidden="1">
      <c r="A258" s="62" t="s">
        <v>283</v>
      </c>
      <c r="B258" s="62" t="s">
        <v>277</v>
      </c>
      <c r="C258" s="62" t="s">
        <v>933</v>
      </c>
      <c r="D258" s="62" t="s">
        <v>508</v>
      </c>
      <c r="E258" s="63" t="s">
        <v>284</v>
      </c>
      <c r="F258" s="98"/>
      <c r="G258" s="120"/>
      <c r="H258" s="165"/>
      <c r="I258" s="120"/>
      <c r="J258" s="120">
        <v>0</v>
      </c>
      <c r="L258" s="122"/>
    </row>
    <row r="259" spans="1:12" ht="25.5">
      <c r="A259" s="62" t="s">
        <v>562</v>
      </c>
      <c r="B259" s="62"/>
      <c r="C259" s="62" t="s">
        <v>934</v>
      </c>
      <c r="D259" s="62"/>
      <c r="E259" s="63" t="s">
        <v>563</v>
      </c>
      <c r="F259" s="98"/>
      <c r="G259" s="120"/>
      <c r="H259" s="165"/>
      <c r="I259" s="120"/>
      <c r="J259" s="120">
        <f>J260+J261</f>
        <v>499791387</v>
      </c>
      <c r="L259" s="122"/>
    </row>
    <row r="260" spans="1:12" ht="12.75" customHeight="1">
      <c r="A260" s="27" t="s">
        <v>324</v>
      </c>
      <c r="B260" s="27" t="s">
        <v>74</v>
      </c>
      <c r="C260" s="27" t="s">
        <v>935</v>
      </c>
      <c r="D260" s="27" t="s">
        <v>508</v>
      </c>
      <c r="E260" s="25" t="s">
        <v>285</v>
      </c>
      <c r="F260" s="126" t="s">
        <v>1110</v>
      </c>
      <c r="G260" s="120"/>
      <c r="H260" s="165"/>
      <c r="I260" s="120"/>
      <c r="J260" s="120">
        <f>'[1]Місто'!$P$314</f>
        <v>407363196</v>
      </c>
      <c r="L260" s="122"/>
    </row>
    <row r="261" spans="1:12" ht="39" customHeight="1">
      <c r="A261" s="27" t="s">
        <v>391</v>
      </c>
      <c r="B261" s="27" t="s">
        <v>389</v>
      </c>
      <c r="C261" s="27" t="s">
        <v>936</v>
      </c>
      <c r="D261" s="27" t="s">
        <v>508</v>
      </c>
      <c r="E261" s="25" t="s">
        <v>390</v>
      </c>
      <c r="F261" s="126" t="s">
        <v>1110</v>
      </c>
      <c r="G261" s="120"/>
      <c r="H261" s="165"/>
      <c r="I261" s="120"/>
      <c r="J261" s="120">
        <f>'[1]Місто'!$P$315</f>
        <v>92428191</v>
      </c>
      <c r="L261" s="122"/>
    </row>
    <row r="262" spans="1:12" ht="29.25" customHeight="1" hidden="1">
      <c r="A262" s="62" t="s">
        <v>208</v>
      </c>
      <c r="B262" s="62" t="s">
        <v>78</v>
      </c>
      <c r="C262" s="62" t="s">
        <v>937</v>
      </c>
      <c r="D262" s="62" t="s">
        <v>508</v>
      </c>
      <c r="E262" s="64" t="s">
        <v>209</v>
      </c>
      <c r="F262" s="98"/>
      <c r="G262" s="120"/>
      <c r="H262" s="165"/>
      <c r="I262" s="120"/>
      <c r="J262" s="120">
        <v>0</v>
      </c>
      <c r="L262" s="122"/>
    </row>
    <row r="263" spans="1:12" ht="29.25" customHeight="1">
      <c r="A263" s="62" t="s">
        <v>1302</v>
      </c>
      <c r="B263" s="62"/>
      <c r="C263" s="62" t="s">
        <v>1301</v>
      </c>
      <c r="D263" s="62"/>
      <c r="E263" s="64" t="s">
        <v>1303</v>
      </c>
      <c r="F263" s="98"/>
      <c r="G263" s="120"/>
      <c r="H263" s="165"/>
      <c r="I263" s="120"/>
      <c r="J263" s="120">
        <f>J264</f>
        <v>2319216</v>
      </c>
      <c r="L263" s="122"/>
    </row>
    <row r="264" spans="1:12" ht="29.25" customHeight="1">
      <c r="A264" s="15" t="s">
        <v>1299</v>
      </c>
      <c r="B264" s="15"/>
      <c r="C264" s="15" t="s">
        <v>1298</v>
      </c>
      <c r="D264" s="15" t="s">
        <v>509</v>
      </c>
      <c r="E264" s="14" t="s">
        <v>1300</v>
      </c>
      <c r="F264" s="98"/>
      <c r="G264" s="120"/>
      <c r="H264" s="165"/>
      <c r="I264" s="120"/>
      <c r="J264" s="120">
        <f>'[1]Місто'!$P$318</f>
        <v>2319216</v>
      </c>
      <c r="L264" s="122"/>
    </row>
    <row r="265" spans="1:12" ht="38.25">
      <c r="A265" s="62" t="s">
        <v>677</v>
      </c>
      <c r="B265" s="62" t="s">
        <v>676</v>
      </c>
      <c r="C265" s="62" t="s">
        <v>938</v>
      </c>
      <c r="D265" s="62" t="s">
        <v>509</v>
      </c>
      <c r="E265" s="64" t="s">
        <v>678</v>
      </c>
      <c r="F265" s="98"/>
      <c r="G265" s="120"/>
      <c r="H265" s="165"/>
      <c r="I265" s="120"/>
      <c r="J265" s="120">
        <f>'[1]Місто'!$P$319</f>
        <v>4718800</v>
      </c>
      <c r="L265" s="122"/>
    </row>
    <row r="266" spans="1:12" ht="12.75">
      <c r="A266" s="62" t="s">
        <v>564</v>
      </c>
      <c r="B266" s="62" t="s">
        <v>530</v>
      </c>
      <c r="C266" s="62" t="s">
        <v>838</v>
      </c>
      <c r="D266" s="62"/>
      <c r="E266" s="64" t="s">
        <v>532</v>
      </c>
      <c r="F266" s="98"/>
      <c r="G266" s="120">
        <f>G267+G296</f>
        <v>97342621</v>
      </c>
      <c r="H266" s="164"/>
      <c r="I266" s="120">
        <f>I267+I296</f>
        <v>68014652</v>
      </c>
      <c r="J266" s="120">
        <f>J267+J296</f>
        <v>50585426</v>
      </c>
      <c r="K266" s="125"/>
      <c r="L266" s="122">
        <f>J266-'[1]Місто'!$P$320</f>
        <v>0</v>
      </c>
    </row>
    <row r="267" spans="1:12" ht="25.5">
      <c r="A267" s="77" t="s">
        <v>210</v>
      </c>
      <c r="B267" s="77" t="s">
        <v>63</v>
      </c>
      <c r="C267" s="77" t="s">
        <v>839</v>
      </c>
      <c r="D267" s="77" t="s">
        <v>478</v>
      </c>
      <c r="E267" s="140" t="s">
        <v>140</v>
      </c>
      <c r="F267" s="142"/>
      <c r="G267" s="151">
        <f>SUM(G268:G295)</f>
        <v>96655346</v>
      </c>
      <c r="H267" s="163"/>
      <c r="I267" s="151">
        <f>SUM(I268:I295)</f>
        <v>67327377</v>
      </c>
      <c r="J267" s="151">
        <f>SUM(J268:J295)</f>
        <v>49898151</v>
      </c>
      <c r="L267" s="122"/>
    </row>
    <row r="268" spans="1:12" ht="25.5" hidden="1">
      <c r="A268" s="27" t="s">
        <v>210</v>
      </c>
      <c r="B268" s="15" t="s">
        <v>63</v>
      </c>
      <c r="C268" s="27" t="s">
        <v>839</v>
      </c>
      <c r="D268" s="27" t="s">
        <v>478</v>
      </c>
      <c r="E268" s="25" t="s">
        <v>140</v>
      </c>
      <c r="F268" s="25" t="s">
        <v>982</v>
      </c>
      <c r="G268" s="120"/>
      <c r="H268" s="164" t="e">
        <f aca="true" t="shared" si="3" ref="H268:H295">100-(I268/G268*100)</f>
        <v>#DIV/0!</v>
      </c>
      <c r="I268" s="120"/>
      <c r="J268" s="120">
        <f>700000-700000</f>
        <v>0</v>
      </c>
      <c r="L268" s="122"/>
    </row>
    <row r="269" spans="1:12" ht="25.5">
      <c r="A269" s="27" t="s">
        <v>210</v>
      </c>
      <c r="B269" s="15" t="s">
        <v>63</v>
      </c>
      <c r="C269" s="27" t="s">
        <v>839</v>
      </c>
      <c r="D269" s="27" t="s">
        <v>478</v>
      </c>
      <c r="E269" s="25" t="s">
        <v>140</v>
      </c>
      <c r="F269" s="25" t="s">
        <v>1112</v>
      </c>
      <c r="G269" s="120">
        <v>10412057</v>
      </c>
      <c r="H269" s="164">
        <f t="shared" si="3"/>
        <v>60.969643174254614</v>
      </c>
      <c r="I269" s="120">
        <v>4063863</v>
      </c>
      <c r="J269" s="120">
        <v>1050000</v>
      </c>
      <c r="L269" s="122"/>
    </row>
    <row r="270" spans="1:12" ht="25.5">
      <c r="A270" s="27" t="s">
        <v>210</v>
      </c>
      <c r="B270" s="15" t="s">
        <v>63</v>
      </c>
      <c r="C270" s="27" t="s">
        <v>839</v>
      </c>
      <c r="D270" s="27" t="s">
        <v>478</v>
      </c>
      <c r="E270" s="25" t="s">
        <v>140</v>
      </c>
      <c r="F270" s="25" t="s">
        <v>983</v>
      </c>
      <c r="G270" s="120">
        <v>2947483</v>
      </c>
      <c r="H270" s="164">
        <f t="shared" si="3"/>
        <v>66.02596181216313</v>
      </c>
      <c r="I270" s="120">
        <v>1001379</v>
      </c>
      <c r="J270" s="120">
        <v>890000</v>
      </c>
      <c r="L270" s="122"/>
    </row>
    <row r="271" spans="1:12" ht="25.5" hidden="1">
      <c r="A271" s="27" t="s">
        <v>210</v>
      </c>
      <c r="B271" s="15" t="s">
        <v>63</v>
      </c>
      <c r="C271" s="27" t="s">
        <v>839</v>
      </c>
      <c r="D271" s="27" t="s">
        <v>478</v>
      </c>
      <c r="E271" s="25" t="s">
        <v>140</v>
      </c>
      <c r="F271" s="25" t="s">
        <v>1113</v>
      </c>
      <c r="G271" s="120"/>
      <c r="H271" s="164" t="e">
        <f t="shared" si="3"/>
        <v>#DIV/0!</v>
      </c>
      <c r="I271" s="120"/>
      <c r="J271" s="120">
        <f>310000-1263-308737</f>
        <v>0</v>
      </c>
      <c r="L271" s="122"/>
    </row>
    <row r="272" spans="1:12" ht="25.5" hidden="1">
      <c r="A272" s="27" t="s">
        <v>210</v>
      </c>
      <c r="B272" s="15" t="s">
        <v>63</v>
      </c>
      <c r="C272" s="27" t="s">
        <v>839</v>
      </c>
      <c r="D272" s="27" t="s">
        <v>478</v>
      </c>
      <c r="E272" s="25" t="s">
        <v>140</v>
      </c>
      <c r="F272" s="25" t="s">
        <v>984</v>
      </c>
      <c r="G272" s="120"/>
      <c r="H272" s="164" t="e">
        <f t="shared" si="3"/>
        <v>#DIV/0!</v>
      </c>
      <c r="I272" s="120"/>
      <c r="J272" s="120">
        <f>5048260-5048260</f>
        <v>0</v>
      </c>
      <c r="L272" s="122"/>
    </row>
    <row r="273" spans="1:12" ht="39.75" customHeight="1">
      <c r="A273" s="27" t="s">
        <v>210</v>
      </c>
      <c r="B273" s="15" t="s">
        <v>63</v>
      </c>
      <c r="C273" s="27" t="s">
        <v>839</v>
      </c>
      <c r="D273" s="27" t="s">
        <v>478</v>
      </c>
      <c r="E273" s="25" t="s">
        <v>140</v>
      </c>
      <c r="F273" s="25" t="s">
        <v>1294</v>
      </c>
      <c r="G273" s="120">
        <v>4900346</v>
      </c>
      <c r="H273" s="164">
        <f t="shared" si="3"/>
        <v>50.87532594637195</v>
      </c>
      <c r="I273" s="120">
        <v>2407279</v>
      </c>
      <c r="J273" s="120">
        <v>1500000</v>
      </c>
      <c r="L273" s="122"/>
    </row>
    <row r="274" spans="1:12" ht="25.5">
      <c r="A274" s="27" t="s">
        <v>210</v>
      </c>
      <c r="B274" s="15" t="s">
        <v>63</v>
      </c>
      <c r="C274" s="27" t="s">
        <v>839</v>
      </c>
      <c r="D274" s="27" t="s">
        <v>478</v>
      </c>
      <c r="E274" s="25" t="s">
        <v>140</v>
      </c>
      <c r="F274" s="25" t="s">
        <v>985</v>
      </c>
      <c r="G274" s="120">
        <v>5322785</v>
      </c>
      <c r="H274" s="164">
        <f t="shared" si="3"/>
        <v>6.040747465847289</v>
      </c>
      <c r="I274" s="120">
        <v>5001249</v>
      </c>
      <c r="J274" s="120">
        <v>5001249</v>
      </c>
      <c r="L274" s="122"/>
    </row>
    <row r="275" spans="1:12" ht="32.25" customHeight="1">
      <c r="A275" s="27" t="s">
        <v>210</v>
      </c>
      <c r="B275" s="15" t="s">
        <v>63</v>
      </c>
      <c r="C275" s="27" t="s">
        <v>839</v>
      </c>
      <c r="D275" s="27" t="s">
        <v>478</v>
      </c>
      <c r="E275" s="25" t="s">
        <v>140</v>
      </c>
      <c r="F275" s="25" t="s">
        <v>1373</v>
      </c>
      <c r="G275" s="120">
        <v>464342</v>
      </c>
      <c r="H275" s="164">
        <f t="shared" si="3"/>
        <v>0.5831908377876687</v>
      </c>
      <c r="I275" s="120">
        <v>461634</v>
      </c>
      <c r="J275" s="120">
        <v>461634</v>
      </c>
      <c r="L275" s="122"/>
    </row>
    <row r="276" spans="1:12" ht="25.5" hidden="1">
      <c r="A276" s="27" t="s">
        <v>210</v>
      </c>
      <c r="B276" s="15" t="s">
        <v>63</v>
      </c>
      <c r="C276" s="27" t="s">
        <v>839</v>
      </c>
      <c r="D276" s="27" t="s">
        <v>478</v>
      </c>
      <c r="E276" s="25" t="s">
        <v>140</v>
      </c>
      <c r="F276" s="25" t="s">
        <v>1314</v>
      </c>
      <c r="G276" s="120"/>
      <c r="H276" s="164" t="e">
        <f t="shared" si="3"/>
        <v>#DIV/0!</v>
      </c>
      <c r="I276" s="120"/>
      <c r="J276" s="120">
        <f>100000-100000</f>
        <v>0</v>
      </c>
      <c r="L276" s="122"/>
    </row>
    <row r="277" spans="1:12" ht="25.5">
      <c r="A277" s="27" t="s">
        <v>210</v>
      </c>
      <c r="B277" s="15" t="s">
        <v>63</v>
      </c>
      <c r="C277" s="27" t="s">
        <v>839</v>
      </c>
      <c r="D277" s="27" t="s">
        <v>478</v>
      </c>
      <c r="E277" s="25" t="s">
        <v>140</v>
      </c>
      <c r="F277" s="25" t="s">
        <v>1295</v>
      </c>
      <c r="G277" s="120">
        <v>2455045</v>
      </c>
      <c r="H277" s="164">
        <f t="shared" si="3"/>
        <v>43.92962247127853</v>
      </c>
      <c r="I277" s="120">
        <v>1376553</v>
      </c>
      <c r="J277" s="120">
        <f>1412930-36377</f>
        <v>1376553</v>
      </c>
      <c r="L277" s="122"/>
    </row>
    <row r="278" spans="1:12" ht="38.25">
      <c r="A278" s="27" t="s">
        <v>210</v>
      </c>
      <c r="B278" s="15" t="s">
        <v>63</v>
      </c>
      <c r="C278" s="27" t="s">
        <v>839</v>
      </c>
      <c r="D278" s="27" t="s">
        <v>478</v>
      </c>
      <c r="E278" s="25" t="s">
        <v>140</v>
      </c>
      <c r="F278" s="25" t="s">
        <v>1318</v>
      </c>
      <c r="G278" s="120">
        <v>278981</v>
      </c>
      <c r="H278" s="164">
        <f t="shared" si="3"/>
        <v>87.6633175735982</v>
      </c>
      <c r="I278" s="120">
        <v>34417</v>
      </c>
      <c r="J278" s="120">
        <v>30965</v>
      </c>
      <c r="L278" s="122"/>
    </row>
    <row r="279" spans="1:12" ht="25.5">
      <c r="A279" s="27" t="s">
        <v>210</v>
      </c>
      <c r="B279" s="15" t="s">
        <v>63</v>
      </c>
      <c r="C279" s="27" t="s">
        <v>839</v>
      </c>
      <c r="D279" s="27" t="s">
        <v>478</v>
      </c>
      <c r="E279" s="25" t="s">
        <v>140</v>
      </c>
      <c r="F279" s="25" t="s">
        <v>1315</v>
      </c>
      <c r="G279" s="120">
        <v>164954</v>
      </c>
      <c r="H279" s="164">
        <f t="shared" si="3"/>
        <v>59.293500006062295</v>
      </c>
      <c r="I279" s="120">
        <v>67147</v>
      </c>
      <c r="J279" s="120">
        <v>67000</v>
      </c>
      <c r="L279" s="122"/>
    </row>
    <row r="280" spans="1:12" ht="51">
      <c r="A280" s="27" t="s">
        <v>210</v>
      </c>
      <c r="B280" s="15" t="s">
        <v>63</v>
      </c>
      <c r="C280" s="27" t="s">
        <v>839</v>
      </c>
      <c r="D280" s="27" t="s">
        <v>478</v>
      </c>
      <c r="E280" s="25" t="s">
        <v>140</v>
      </c>
      <c r="F280" s="25" t="s">
        <v>1305</v>
      </c>
      <c r="G280" s="120">
        <v>395828</v>
      </c>
      <c r="H280" s="164">
        <f t="shared" si="3"/>
        <v>0</v>
      </c>
      <c r="I280" s="120">
        <v>395828</v>
      </c>
      <c r="J280" s="120">
        <v>395828</v>
      </c>
      <c r="L280" s="122"/>
    </row>
    <row r="281" spans="1:12" ht="38.25">
      <c r="A281" s="27" t="s">
        <v>210</v>
      </c>
      <c r="B281" s="15" t="s">
        <v>63</v>
      </c>
      <c r="C281" s="27" t="s">
        <v>839</v>
      </c>
      <c r="D281" s="27" t="s">
        <v>478</v>
      </c>
      <c r="E281" s="25" t="s">
        <v>140</v>
      </c>
      <c r="F281" s="25" t="s">
        <v>1316</v>
      </c>
      <c r="G281" s="120">
        <v>10285001</v>
      </c>
      <c r="H281" s="164">
        <f t="shared" si="3"/>
        <v>5.328711197986266</v>
      </c>
      <c r="I281" s="120">
        <v>9736943</v>
      </c>
      <c r="J281" s="120">
        <f>4543666-4508666</f>
        <v>35000</v>
      </c>
      <c r="L281" s="122"/>
    </row>
    <row r="282" spans="1:12" ht="25.5">
      <c r="A282" s="27" t="s">
        <v>210</v>
      </c>
      <c r="B282" s="15" t="s">
        <v>63</v>
      </c>
      <c r="C282" s="27" t="s">
        <v>839</v>
      </c>
      <c r="D282" s="27" t="s">
        <v>478</v>
      </c>
      <c r="E282" s="25" t="s">
        <v>140</v>
      </c>
      <c r="F282" s="25" t="s">
        <v>986</v>
      </c>
      <c r="G282" s="120">
        <v>8360998</v>
      </c>
      <c r="H282" s="164">
        <f t="shared" si="3"/>
        <v>4.153355855365589</v>
      </c>
      <c r="I282" s="120">
        <v>8013736</v>
      </c>
      <c r="J282" s="120">
        <f>8013737-1</f>
        <v>8013736</v>
      </c>
      <c r="L282" s="122"/>
    </row>
    <row r="283" spans="1:12" ht="25.5" hidden="1">
      <c r="A283" s="27" t="s">
        <v>210</v>
      </c>
      <c r="B283" s="15" t="s">
        <v>63</v>
      </c>
      <c r="C283" s="27" t="s">
        <v>839</v>
      </c>
      <c r="D283" s="27" t="s">
        <v>478</v>
      </c>
      <c r="E283" s="25" t="s">
        <v>140</v>
      </c>
      <c r="F283" s="25" t="s">
        <v>987</v>
      </c>
      <c r="G283" s="120"/>
      <c r="H283" s="164" t="e">
        <f t="shared" si="3"/>
        <v>#DIV/0!</v>
      </c>
      <c r="I283" s="120"/>
      <c r="J283" s="120">
        <f>2984041-2984041</f>
        <v>0</v>
      </c>
      <c r="L283" s="122"/>
    </row>
    <row r="284" spans="1:12" ht="38.25">
      <c r="A284" s="27" t="s">
        <v>210</v>
      </c>
      <c r="B284" s="15" t="s">
        <v>63</v>
      </c>
      <c r="C284" s="27" t="s">
        <v>839</v>
      </c>
      <c r="D284" s="27" t="s">
        <v>478</v>
      </c>
      <c r="E284" s="25" t="s">
        <v>140</v>
      </c>
      <c r="F284" s="25" t="s">
        <v>1257</v>
      </c>
      <c r="G284" s="120">
        <v>2437873</v>
      </c>
      <c r="H284" s="164">
        <f t="shared" si="3"/>
        <v>27.210564291084893</v>
      </c>
      <c r="I284" s="120">
        <v>1774514</v>
      </c>
      <c r="J284" s="120">
        <f>820000+514429</f>
        <v>1334429</v>
      </c>
      <c r="L284" s="122"/>
    </row>
    <row r="285" spans="1:12" ht="33.75" customHeight="1" hidden="1">
      <c r="A285" s="27" t="s">
        <v>210</v>
      </c>
      <c r="B285" s="15" t="s">
        <v>63</v>
      </c>
      <c r="C285" s="27" t="s">
        <v>839</v>
      </c>
      <c r="D285" s="27" t="s">
        <v>478</v>
      </c>
      <c r="E285" s="25" t="s">
        <v>140</v>
      </c>
      <c r="F285" s="25" t="s">
        <v>988</v>
      </c>
      <c r="G285" s="120"/>
      <c r="H285" s="164" t="e">
        <f t="shared" si="3"/>
        <v>#DIV/0!</v>
      </c>
      <c r="I285" s="120"/>
      <c r="J285" s="120">
        <f>3788128-3788128</f>
        <v>0</v>
      </c>
      <c r="L285" s="122"/>
    </row>
    <row r="286" spans="1:12" ht="25.5">
      <c r="A286" s="27" t="s">
        <v>210</v>
      </c>
      <c r="B286" s="15" t="s">
        <v>63</v>
      </c>
      <c r="C286" s="27" t="s">
        <v>839</v>
      </c>
      <c r="D286" s="27" t="s">
        <v>478</v>
      </c>
      <c r="E286" s="25" t="s">
        <v>140</v>
      </c>
      <c r="F286" s="25" t="s">
        <v>989</v>
      </c>
      <c r="G286" s="120">
        <v>12831289</v>
      </c>
      <c r="H286" s="164">
        <f t="shared" si="3"/>
        <v>21.8282434445986</v>
      </c>
      <c r="I286" s="120">
        <v>10030444</v>
      </c>
      <c r="J286" s="120">
        <v>8900110</v>
      </c>
      <c r="L286" s="122"/>
    </row>
    <row r="287" spans="1:12" ht="25.5">
      <c r="A287" s="27" t="s">
        <v>210</v>
      </c>
      <c r="B287" s="15" t="s">
        <v>63</v>
      </c>
      <c r="C287" s="27" t="s">
        <v>839</v>
      </c>
      <c r="D287" s="27" t="s">
        <v>478</v>
      </c>
      <c r="E287" s="25" t="s">
        <v>140</v>
      </c>
      <c r="F287" s="25" t="s">
        <v>990</v>
      </c>
      <c r="G287" s="120">
        <v>993359</v>
      </c>
      <c r="H287" s="164">
        <f t="shared" si="3"/>
        <v>0</v>
      </c>
      <c r="I287" s="120">
        <v>993359</v>
      </c>
      <c r="J287" s="120">
        <v>441000</v>
      </c>
      <c r="L287" s="122"/>
    </row>
    <row r="288" spans="1:12" ht="25.5">
      <c r="A288" s="27" t="s">
        <v>210</v>
      </c>
      <c r="B288" s="15" t="s">
        <v>63</v>
      </c>
      <c r="C288" s="27" t="s">
        <v>839</v>
      </c>
      <c r="D288" s="27" t="s">
        <v>478</v>
      </c>
      <c r="E288" s="25" t="s">
        <v>140</v>
      </c>
      <c r="F288" s="25" t="s">
        <v>991</v>
      </c>
      <c r="G288" s="120">
        <v>703657</v>
      </c>
      <c r="H288" s="164">
        <f t="shared" si="3"/>
        <v>0</v>
      </c>
      <c r="I288" s="120">
        <v>703657</v>
      </c>
      <c r="J288" s="120">
        <v>451462</v>
      </c>
      <c r="L288" s="122"/>
    </row>
    <row r="289" spans="1:12" ht="25.5">
      <c r="A289" s="27" t="s">
        <v>210</v>
      </c>
      <c r="B289" s="15" t="s">
        <v>63</v>
      </c>
      <c r="C289" s="27" t="s">
        <v>839</v>
      </c>
      <c r="D289" s="27" t="s">
        <v>478</v>
      </c>
      <c r="E289" s="25" t="s">
        <v>140</v>
      </c>
      <c r="F289" s="25" t="s">
        <v>1317</v>
      </c>
      <c r="G289" s="120">
        <v>2405947</v>
      </c>
      <c r="H289" s="164">
        <f t="shared" si="3"/>
        <v>0</v>
      </c>
      <c r="I289" s="120">
        <v>2405947</v>
      </c>
      <c r="J289" s="120">
        <f>4420037-2955587</f>
        <v>1464450</v>
      </c>
      <c r="L289" s="122"/>
    </row>
    <row r="290" spans="1:12" ht="25.5">
      <c r="A290" s="27" t="s">
        <v>210</v>
      </c>
      <c r="B290" s="15" t="s">
        <v>63</v>
      </c>
      <c r="C290" s="27" t="s">
        <v>839</v>
      </c>
      <c r="D290" s="27" t="s">
        <v>478</v>
      </c>
      <c r="E290" s="25" t="s">
        <v>140</v>
      </c>
      <c r="F290" s="25" t="s">
        <v>992</v>
      </c>
      <c r="G290" s="120">
        <v>25823988</v>
      </c>
      <c r="H290" s="164">
        <f t="shared" si="3"/>
        <v>47.882143532594576</v>
      </c>
      <c r="I290" s="120">
        <v>13458909</v>
      </c>
      <c r="J290" s="120">
        <f>4000000+9458909</f>
        <v>13458909</v>
      </c>
      <c r="L290" s="122"/>
    </row>
    <row r="291" spans="1:12" s="201" customFormat="1" ht="25.5">
      <c r="A291" s="15" t="s">
        <v>703</v>
      </c>
      <c r="B291" s="15" t="s">
        <v>63</v>
      </c>
      <c r="C291" s="15" t="s">
        <v>839</v>
      </c>
      <c r="D291" s="15" t="s">
        <v>478</v>
      </c>
      <c r="E291" s="14" t="s">
        <v>140</v>
      </c>
      <c r="F291" s="139" t="s">
        <v>1375</v>
      </c>
      <c r="G291" s="120">
        <v>209076</v>
      </c>
      <c r="H291" s="164">
        <f>100-(I291/G291*100)</f>
        <v>0</v>
      </c>
      <c r="I291" s="120">
        <v>209076</v>
      </c>
      <c r="J291" s="120">
        <v>209076</v>
      </c>
      <c r="K291" s="199"/>
      <c r="L291" s="200"/>
    </row>
    <row r="292" spans="1:12" ht="25.5">
      <c r="A292" s="27" t="s">
        <v>210</v>
      </c>
      <c r="B292" s="15" t="s">
        <v>63</v>
      </c>
      <c r="C292" s="27" t="s">
        <v>839</v>
      </c>
      <c r="D292" s="27" t="s">
        <v>478</v>
      </c>
      <c r="E292" s="25" t="s">
        <v>140</v>
      </c>
      <c r="F292" s="25" t="s">
        <v>1258</v>
      </c>
      <c r="G292" s="120">
        <v>3620159</v>
      </c>
      <c r="H292" s="164">
        <f t="shared" si="3"/>
        <v>0.09278597984231851</v>
      </c>
      <c r="I292" s="120">
        <v>3616800</v>
      </c>
      <c r="J292" s="120">
        <f>2076852+1412887</f>
        <v>3489739</v>
      </c>
      <c r="L292" s="122"/>
    </row>
    <row r="293" spans="1:12" s="20" customFormat="1" ht="25.5" hidden="1">
      <c r="A293" s="27" t="s">
        <v>210</v>
      </c>
      <c r="B293" s="15" t="s">
        <v>63</v>
      </c>
      <c r="C293" s="27" t="s">
        <v>839</v>
      </c>
      <c r="D293" s="27" t="s">
        <v>478</v>
      </c>
      <c r="E293" s="25" t="s">
        <v>140</v>
      </c>
      <c r="F293" s="25" t="s">
        <v>993</v>
      </c>
      <c r="G293" s="120"/>
      <c r="H293" s="164" t="e">
        <f t="shared" si="3"/>
        <v>#DIV/0!</v>
      </c>
      <c r="I293" s="120"/>
      <c r="J293" s="120">
        <f>1946993-1946993</f>
        <v>0</v>
      </c>
      <c r="K293" s="21"/>
      <c r="L293" s="122"/>
    </row>
    <row r="294" spans="1:12" s="20" customFormat="1" ht="25.5">
      <c r="A294" s="27" t="s">
        <v>210</v>
      </c>
      <c r="B294" s="15" t="s">
        <v>63</v>
      </c>
      <c r="C294" s="27" t="s">
        <v>839</v>
      </c>
      <c r="D294" s="27" t="s">
        <v>478</v>
      </c>
      <c r="E294" s="25" t="s">
        <v>140</v>
      </c>
      <c r="F294" s="25" t="s">
        <v>1304</v>
      </c>
      <c r="G294" s="120">
        <v>29630</v>
      </c>
      <c r="H294" s="164">
        <f t="shared" si="3"/>
        <v>8.839014512318599</v>
      </c>
      <c r="I294" s="120">
        <v>27011</v>
      </c>
      <c r="J294" s="120">
        <v>27011</v>
      </c>
      <c r="K294" s="21"/>
      <c r="L294" s="122"/>
    </row>
    <row r="295" spans="1:12" s="20" customFormat="1" ht="38.25">
      <c r="A295" s="27" t="s">
        <v>210</v>
      </c>
      <c r="B295" s="15" t="s">
        <v>63</v>
      </c>
      <c r="C295" s="27" t="s">
        <v>839</v>
      </c>
      <c r="D295" s="27" t="s">
        <v>478</v>
      </c>
      <c r="E295" s="25" t="s">
        <v>140</v>
      </c>
      <c r="F295" s="25" t="s">
        <v>1296</v>
      </c>
      <c r="G295" s="119">
        <v>1612548</v>
      </c>
      <c r="H295" s="164">
        <f t="shared" si="3"/>
        <v>4.0256786154582755</v>
      </c>
      <c r="I295" s="119">
        <v>1547632</v>
      </c>
      <c r="J295" s="119">
        <f>1600000-300000</f>
        <v>1300000</v>
      </c>
      <c r="K295" s="21"/>
      <c r="L295" s="122"/>
    </row>
    <row r="296" spans="1:12" ht="28.5" customHeight="1">
      <c r="A296" s="62" t="s">
        <v>775</v>
      </c>
      <c r="B296" s="62"/>
      <c r="C296" s="62" t="s">
        <v>939</v>
      </c>
      <c r="D296" s="62"/>
      <c r="E296" s="64" t="s">
        <v>776</v>
      </c>
      <c r="F296" s="98"/>
      <c r="G296" s="120">
        <f>G297</f>
        <v>687275</v>
      </c>
      <c r="H296" s="164"/>
      <c r="I296" s="120">
        <f>I297</f>
        <v>687275</v>
      </c>
      <c r="J296" s="120">
        <f>J297</f>
        <v>687275</v>
      </c>
      <c r="L296" s="122"/>
    </row>
    <row r="297" spans="1:12" ht="25.5">
      <c r="A297" s="77" t="s">
        <v>404</v>
      </c>
      <c r="B297" s="77" t="s">
        <v>271</v>
      </c>
      <c r="C297" s="77" t="s">
        <v>940</v>
      </c>
      <c r="D297" s="77" t="s">
        <v>490</v>
      </c>
      <c r="E297" s="140" t="s">
        <v>272</v>
      </c>
      <c r="F297" s="142"/>
      <c r="G297" s="151">
        <f>SUM(G298:G299)</f>
        <v>687275</v>
      </c>
      <c r="H297" s="163"/>
      <c r="I297" s="151">
        <f>SUM(I298:I299)</f>
        <v>687275</v>
      </c>
      <c r="J297" s="151">
        <f>SUM(J298:J299)</f>
        <v>687275</v>
      </c>
      <c r="L297" s="122"/>
    </row>
    <row r="298" spans="1:12" s="20" customFormat="1" ht="25.5">
      <c r="A298" s="27" t="s">
        <v>404</v>
      </c>
      <c r="B298" s="27" t="s">
        <v>271</v>
      </c>
      <c r="C298" s="27" t="s">
        <v>940</v>
      </c>
      <c r="D298" s="27" t="s">
        <v>490</v>
      </c>
      <c r="E298" s="25" t="s">
        <v>272</v>
      </c>
      <c r="F298" s="25" t="s">
        <v>1328</v>
      </c>
      <c r="G298" s="119">
        <v>687275</v>
      </c>
      <c r="H298" s="164">
        <f>100-(I298/G298*100)</f>
        <v>0</v>
      </c>
      <c r="I298" s="119">
        <v>687275</v>
      </c>
      <c r="J298" s="119">
        <f>'[1]Місто'!$P$323</f>
        <v>687275</v>
      </c>
      <c r="K298" s="21"/>
      <c r="L298" s="122"/>
    </row>
    <row r="299" spans="1:12" s="20" customFormat="1" ht="25.5" hidden="1">
      <c r="A299" s="27" t="s">
        <v>404</v>
      </c>
      <c r="B299" s="27" t="s">
        <v>271</v>
      </c>
      <c r="C299" s="27" t="s">
        <v>940</v>
      </c>
      <c r="D299" s="27" t="s">
        <v>490</v>
      </c>
      <c r="E299" s="25" t="s">
        <v>272</v>
      </c>
      <c r="F299" s="100"/>
      <c r="G299" s="119"/>
      <c r="H299" s="164" t="e">
        <f>100-(I299/G299*100)</f>
        <v>#DIV/0!</v>
      </c>
      <c r="I299" s="119"/>
      <c r="J299" s="119"/>
      <c r="K299" s="21"/>
      <c r="L299" s="122">
        <v>-165396</v>
      </c>
    </row>
    <row r="300" spans="1:12" ht="51" hidden="1">
      <c r="A300" s="77" t="s">
        <v>774</v>
      </c>
      <c r="B300" s="77" t="s">
        <v>70</v>
      </c>
      <c r="C300" s="77" t="s">
        <v>941</v>
      </c>
      <c r="D300" s="77" t="s">
        <v>509</v>
      </c>
      <c r="E300" s="144" t="s">
        <v>234</v>
      </c>
      <c r="F300" s="142"/>
      <c r="G300" s="151">
        <f>SUM(G301:G302)</f>
        <v>0</v>
      </c>
      <c r="H300" s="168"/>
      <c r="I300" s="151">
        <f>SUM(I301:I302)</f>
        <v>0</v>
      </c>
      <c r="J300" s="151">
        <f>SUM(J301:J302)</f>
        <v>0</v>
      </c>
      <c r="L300" s="122">
        <v>0</v>
      </c>
    </row>
    <row r="301" spans="1:12" s="20" customFormat="1" ht="51" hidden="1">
      <c r="A301" s="27" t="s">
        <v>774</v>
      </c>
      <c r="B301" s="15" t="s">
        <v>70</v>
      </c>
      <c r="C301" s="27" t="s">
        <v>941</v>
      </c>
      <c r="D301" s="27" t="s">
        <v>509</v>
      </c>
      <c r="E301" s="28" t="s">
        <v>234</v>
      </c>
      <c r="F301" s="25" t="s">
        <v>994</v>
      </c>
      <c r="G301" s="120"/>
      <c r="H301" s="164" t="e">
        <f>100-(I301/G301*100)</f>
        <v>#DIV/0!</v>
      </c>
      <c r="I301" s="120"/>
      <c r="J301" s="120">
        <f>500000-500000</f>
        <v>0</v>
      </c>
      <c r="K301" s="21"/>
      <c r="L301" s="122"/>
    </row>
    <row r="302" spans="1:12" s="20" customFormat="1" ht="51" hidden="1">
      <c r="A302" s="27" t="s">
        <v>774</v>
      </c>
      <c r="B302" s="15" t="s">
        <v>70</v>
      </c>
      <c r="C302" s="27" t="s">
        <v>941</v>
      </c>
      <c r="D302" s="27" t="s">
        <v>509</v>
      </c>
      <c r="E302" s="28" t="s">
        <v>234</v>
      </c>
      <c r="F302" s="25" t="s">
        <v>995</v>
      </c>
      <c r="G302" s="120"/>
      <c r="H302" s="164" t="e">
        <f>100-(I302/G302*100)</f>
        <v>#DIV/0!</v>
      </c>
      <c r="I302" s="120"/>
      <c r="J302" s="120">
        <f>500000-500000</f>
        <v>0</v>
      </c>
      <c r="K302" s="21"/>
      <c r="L302" s="122"/>
    </row>
    <row r="303" spans="1:12" ht="25.5" customHeight="1">
      <c r="A303" s="62" t="s">
        <v>752</v>
      </c>
      <c r="B303" s="62" t="s">
        <v>519</v>
      </c>
      <c r="C303" s="62" t="s">
        <v>841</v>
      </c>
      <c r="D303" s="62"/>
      <c r="E303" s="64" t="s">
        <v>521</v>
      </c>
      <c r="F303" s="98"/>
      <c r="G303" s="120"/>
      <c r="H303" s="165"/>
      <c r="I303" s="120"/>
      <c r="J303" s="120">
        <f>J304</f>
        <v>31842465</v>
      </c>
      <c r="L303" s="122"/>
    </row>
    <row r="304" spans="1:12" ht="29.25" customHeight="1">
      <c r="A304" s="27" t="s">
        <v>777</v>
      </c>
      <c r="B304" s="15" t="s">
        <v>71</v>
      </c>
      <c r="C304" s="27" t="s">
        <v>842</v>
      </c>
      <c r="D304" s="27" t="s">
        <v>478</v>
      </c>
      <c r="E304" s="25" t="s">
        <v>211</v>
      </c>
      <c r="F304" s="98"/>
      <c r="G304" s="120"/>
      <c r="H304" s="165"/>
      <c r="I304" s="120"/>
      <c r="J304" s="120">
        <f>'[1]Місто'!$P$326</f>
        <v>31842465</v>
      </c>
      <c r="L304" s="122"/>
    </row>
    <row r="305" spans="1:12" ht="38.25" customHeight="1">
      <c r="A305" s="27"/>
      <c r="B305" s="15"/>
      <c r="C305" s="15"/>
      <c r="D305" s="27"/>
      <c r="E305" s="25"/>
      <c r="F305" s="25" t="s">
        <v>996</v>
      </c>
      <c r="G305" s="120"/>
      <c r="H305" s="165"/>
      <c r="I305" s="120"/>
      <c r="J305" s="120">
        <f>9763200+1542700</f>
        <v>11305900</v>
      </c>
      <c r="L305" s="122"/>
    </row>
    <row r="306" spans="1:12" ht="27" customHeight="1">
      <c r="A306" s="27"/>
      <c r="B306" s="15"/>
      <c r="C306" s="15"/>
      <c r="D306" s="27"/>
      <c r="E306" s="25"/>
      <c r="F306" s="25" t="s">
        <v>1377</v>
      </c>
      <c r="G306" s="120"/>
      <c r="H306" s="165"/>
      <c r="I306" s="120"/>
      <c r="J306" s="120">
        <f>606300+426120-426120</f>
        <v>606300</v>
      </c>
      <c r="L306" s="122"/>
    </row>
    <row r="307" spans="1:12" ht="38.25">
      <c r="A307" s="27"/>
      <c r="B307" s="15"/>
      <c r="C307" s="15"/>
      <c r="D307" s="27"/>
      <c r="E307" s="25"/>
      <c r="F307" s="25" t="s">
        <v>1378</v>
      </c>
      <c r="G307" s="120"/>
      <c r="H307" s="165"/>
      <c r="I307" s="120"/>
      <c r="J307" s="120">
        <v>10173000</v>
      </c>
      <c r="L307" s="122"/>
    </row>
    <row r="308" spans="1:12" ht="63.75">
      <c r="A308" s="27"/>
      <c r="B308" s="15"/>
      <c r="C308" s="15"/>
      <c r="D308" s="27"/>
      <c r="E308" s="25"/>
      <c r="F308" s="25" t="s">
        <v>1341</v>
      </c>
      <c r="G308" s="120"/>
      <c r="H308" s="165"/>
      <c r="I308" s="120"/>
      <c r="J308" s="120">
        <f>50037227-22752827-2376945-15015228-134962</f>
        <v>9757265</v>
      </c>
      <c r="L308" s="122"/>
    </row>
    <row r="309" spans="1:12" ht="12.75">
      <c r="A309" s="62" t="s">
        <v>566</v>
      </c>
      <c r="B309" s="62" t="s">
        <v>535</v>
      </c>
      <c r="C309" s="62" t="s">
        <v>843</v>
      </c>
      <c r="D309" s="62"/>
      <c r="E309" s="64" t="s">
        <v>536</v>
      </c>
      <c r="F309" s="98"/>
      <c r="G309" s="120"/>
      <c r="H309" s="165"/>
      <c r="I309" s="120"/>
      <c r="J309" s="120">
        <f>J310</f>
        <v>556922</v>
      </c>
      <c r="L309" s="122"/>
    </row>
    <row r="310" spans="1:12" ht="12.75">
      <c r="A310" s="15" t="s">
        <v>354</v>
      </c>
      <c r="B310" s="15" t="s">
        <v>50</v>
      </c>
      <c r="C310" s="15" t="s">
        <v>845</v>
      </c>
      <c r="D310" s="15"/>
      <c r="E310" s="14" t="s">
        <v>350</v>
      </c>
      <c r="F310" s="98"/>
      <c r="G310" s="120"/>
      <c r="H310" s="165"/>
      <c r="I310" s="120"/>
      <c r="J310" s="120">
        <f>J311+J312</f>
        <v>556922</v>
      </c>
      <c r="L310" s="122"/>
    </row>
    <row r="311" spans="1:12" s="186" customFormat="1" ht="41.25" customHeight="1" hidden="1">
      <c r="A311" s="181" t="s">
        <v>325</v>
      </c>
      <c r="B311" s="181" t="s">
        <v>50</v>
      </c>
      <c r="C311" s="181" t="s">
        <v>847</v>
      </c>
      <c r="D311" s="181" t="s">
        <v>479</v>
      </c>
      <c r="E311" s="182" t="s">
        <v>737</v>
      </c>
      <c r="F311" s="183"/>
      <c r="G311" s="184"/>
      <c r="H311" s="185"/>
      <c r="I311" s="184"/>
      <c r="J311" s="184">
        <f>'[1]Місто'!$P$329</f>
        <v>556922</v>
      </c>
      <c r="L311" s="187"/>
    </row>
    <row r="312" spans="1:12" s="186" customFormat="1" ht="52.5" customHeight="1" hidden="1">
      <c r="A312" s="181" t="s">
        <v>368</v>
      </c>
      <c r="B312" s="181" t="s">
        <v>50</v>
      </c>
      <c r="C312" s="181" t="s">
        <v>850</v>
      </c>
      <c r="D312" s="181" t="s">
        <v>479</v>
      </c>
      <c r="E312" s="182" t="s">
        <v>288</v>
      </c>
      <c r="F312" s="183"/>
      <c r="G312" s="184"/>
      <c r="H312" s="185"/>
      <c r="I312" s="184"/>
      <c r="J312" s="184">
        <v>0</v>
      </c>
      <c r="L312" s="187">
        <v>0</v>
      </c>
    </row>
    <row r="313" spans="1:12" ht="25.5">
      <c r="A313" s="31" t="s">
        <v>683</v>
      </c>
      <c r="B313" s="31" t="s">
        <v>682</v>
      </c>
      <c r="C313" s="31" t="s">
        <v>682</v>
      </c>
      <c r="D313" s="31"/>
      <c r="E313" s="33" t="s">
        <v>695</v>
      </c>
      <c r="F313" s="33"/>
      <c r="G313" s="153">
        <f>G314</f>
        <v>397373387</v>
      </c>
      <c r="H313" s="172"/>
      <c r="I313" s="153">
        <f>I314</f>
        <v>302110317</v>
      </c>
      <c r="J313" s="153">
        <f>J314</f>
        <v>298189289</v>
      </c>
      <c r="L313" s="122">
        <f>J313-'[1]Місто'!$P$335</f>
        <v>0</v>
      </c>
    </row>
    <row r="314" spans="1:12" ht="25.5">
      <c r="A314" s="29" t="s">
        <v>684</v>
      </c>
      <c r="B314" s="18"/>
      <c r="C314" s="18"/>
      <c r="D314" s="18"/>
      <c r="E314" s="28" t="s">
        <v>687</v>
      </c>
      <c r="F314" s="98"/>
      <c r="G314" s="120">
        <f>G315+G317+G322+G324+G564+G593+G599+G601</f>
        <v>397373387</v>
      </c>
      <c r="H314" s="165"/>
      <c r="I314" s="120">
        <f>I315+I317+I322+I324+I564+I593+I599+I601</f>
        <v>302110317</v>
      </c>
      <c r="J314" s="120">
        <f>J315+J317+J322+J324+J564+J593+J599+J601</f>
        <v>298189289</v>
      </c>
      <c r="L314" s="122"/>
    </row>
    <row r="315" spans="1:12" ht="12.75">
      <c r="A315" s="62" t="s">
        <v>685</v>
      </c>
      <c r="B315" s="61" t="s">
        <v>567</v>
      </c>
      <c r="C315" s="61" t="s">
        <v>833</v>
      </c>
      <c r="D315" s="61"/>
      <c r="E315" s="72" t="s">
        <v>569</v>
      </c>
      <c r="F315" s="98"/>
      <c r="G315" s="120"/>
      <c r="H315" s="165"/>
      <c r="I315" s="120"/>
      <c r="J315" s="120">
        <f>J316</f>
        <v>747144</v>
      </c>
      <c r="L315" s="122"/>
    </row>
    <row r="316" spans="1:12" ht="27.75" customHeight="1">
      <c r="A316" s="27" t="s">
        <v>686</v>
      </c>
      <c r="B316" s="15" t="s">
        <v>30</v>
      </c>
      <c r="C316" s="27" t="s">
        <v>515</v>
      </c>
      <c r="D316" s="27" t="s">
        <v>476</v>
      </c>
      <c r="E316" s="28" t="s">
        <v>745</v>
      </c>
      <c r="F316" s="126" t="s">
        <v>1110</v>
      </c>
      <c r="G316" s="120"/>
      <c r="H316" s="165"/>
      <c r="I316" s="120"/>
      <c r="J316" s="120">
        <f>'[1]Місто'!$P$338</f>
        <v>747144</v>
      </c>
      <c r="L316" s="122"/>
    </row>
    <row r="317" spans="1:12" ht="26.25" customHeight="1" hidden="1">
      <c r="A317" s="62" t="s">
        <v>697</v>
      </c>
      <c r="B317" s="62" t="s">
        <v>525</v>
      </c>
      <c r="C317" s="62" t="s">
        <v>863</v>
      </c>
      <c r="D317" s="62"/>
      <c r="E317" s="63" t="s">
        <v>527</v>
      </c>
      <c r="F317" s="98"/>
      <c r="G317" s="120"/>
      <c r="H317" s="165"/>
      <c r="I317" s="120"/>
      <c r="J317" s="120">
        <f>J318+J319</f>
        <v>0</v>
      </c>
      <c r="L317" s="122"/>
    </row>
    <row r="318" spans="1:12" ht="30" customHeight="1" hidden="1">
      <c r="A318" s="27" t="s">
        <v>753</v>
      </c>
      <c r="B318" s="27" t="s">
        <v>667</v>
      </c>
      <c r="C318" s="27" t="s">
        <v>869</v>
      </c>
      <c r="D318" s="27" t="s">
        <v>669</v>
      </c>
      <c r="E318" s="25" t="s">
        <v>668</v>
      </c>
      <c r="F318" s="98"/>
      <c r="G318" s="120"/>
      <c r="H318" s="165"/>
      <c r="I318" s="120"/>
      <c r="J318" s="120">
        <v>0</v>
      </c>
      <c r="L318" s="122"/>
    </row>
    <row r="319" spans="1:12" ht="26.25" customHeight="1" hidden="1">
      <c r="A319" s="45" t="s">
        <v>698</v>
      </c>
      <c r="B319" s="45" t="s">
        <v>43</v>
      </c>
      <c r="C319" s="45" t="s">
        <v>913</v>
      </c>
      <c r="D319" s="45"/>
      <c r="E319" s="53" t="s">
        <v>282</v>
      </c>
      <c r="F319" s="98"/>
      <c r="G319" s="120"/>
      <c r="H319" s="165"/>
      <c r="I319" s="120"/>
      <c r="J319" s="120">
        <f>J320+J321</f>
        <v>0</v>
      </c>
      <c r="L319" s="122"/>
    </row>
    <row r="320" spans="1:12" ht="42" customHeight="1" hidden="1">
      <c r="A320" s="27" t="s">
        <v>780</v>
      </c>
      <c r="B320" s="15" t="s">
        <v>43</v>
      </c>
      <c r="C320" s="27" t="s">
        <v>914</v>
      </c>
      <c r="D320" s="15"/>
      <c r="E320" s="3" t="s">
        <v>417</v>
      </c>
      <c r="F320" s="98"/>
      <c r="G320" s="120"/>
      <c r="H320" s="165"/>
      <c r="I320" s="120"/>
      <c r="J320" s="120">
        <v>0</v>
      </c>
      <c r="L320" s="122"/>
    </row>
    <row r="321" spans="1:12" ht="12.75" hidden="1">
      <c r="A321" s="27" t="s">
        <v>699</v>
      </c>
      <c r="B321" s="15" t="s">
        <v>43</v>
      </c>
      <c r="C321" s="27" t="s">
        <v>942</v>
      </c>
      <c r="D321" s="27" t="s">
        <v>500</v>
      </c>
      <c r="E321" s="3" t="s">
        <v>441</v>
      </c>
      <c r="F321" s="98"/>
      <c r="G321" s="120"/>
      <c r="H321" s="165"/>
      <c r="I321" s="120"/>
      <c r="J321" s="120">
        <v>0</v>
      </c>
      <c r="L321" s="122"/>
    </row>
    <row r="322" spans="1:12" ht="12.75">
      <c r="A322" s="62" t="s">
        <v>700</v>
      </c>
      <c r="B322" s="62" t="s">
        <v>559</v>
      </c>
      <c r="C322" s="62" t="s">
        <v>932</v>
      </c>
      <c r="D322" s="62"/>
      <c r="E322" s="72" t="s">
        <v>561</v>
      </c>
      <c r="F322" s="98"/>
      <c r="G322" s="120"/>
      <c r="H322" s="165"/>
      <c r="I322" s="120"/>
      <c r="J322" s="120">
        <f>J323</f>
        <v>9493246</v>
      </c>
      <c r="L322" s="122"/>
    </row>
    <row r="323" spans="1:12" ht="15" customHeight="1">
      <c r="A323" s="62" t="s">
        <v>701</v>
      </c>
      <c r="B323" s="62" t="s">
        <v>89</v>
      </c>
      <c r="C323" s="62" t="s">
        <v>943</v>
      </c>
      <c r="D323" s="62" t="s">
        <v>509</v>
      </c>
      <c r="E323" s="64" t="s">
        <v>91</v>
      </c>
      <c r="F323" s="126" t="s">
        <v>1110</v>
      </c>
      <c r="G323" s="120"/>
      <c r="H323" s="165"/>
      <c r="I323" s="120"/>
      <c r="J323" s="120">
        <f>'[1]Місто'!$P$345</f>
        <v>9493246</v>
      </c>
      <c r="L323" s="122"/>
    </row>
    <row r="324" spans="1:12" ht="12.75">
      <c r="A324" s="62" t="s">
        <v>702</v>
      </c>
      <c r="B324" s="62" t="s">
        <v>530</v>
      </c>
      <c r="C324" s="62" t="s">
        <v>838</v>
      </c>
      <c r="D324" s="62"/>
      <c r="E324" s="64" t="s">
        <v>532</v>
      </c>
      <c r="F324" s="98"/>
      <c r="G324" s="120">
        <f>G325</f>
        <v>397373387</v>
      </c>
      <c r="H324" s="164"/>
      <c r="I324" s="120">
        <f>I325</f>
        <v>302110317</v>
      </c>
      <c r="J324" s="120">
        <f>J325</f>
        <v>92567480</v>
      </c>
      <c r="L324" s="122">
        <v>0</v>
      </c>
    </row>
    <row r="325" spans="1:12" ht="25.5">
      <c r="A325" s="77" t="s">
        <v>703</v>
      </c>
      <c r="B325" s="77" t="s">
        <v>63</v>
      </c>
      <c r="C325" s="77" t="s">
        <v>839</v>
      </c>
      <c r="D325" s="77" t="s">
        <v>478</v>
      </c>
      <c r="E325" s="140" t="s">
        <v>140</v>
      </c>
      <c r="F325" s="142"/>
      <c r="G325" s="151">
        <f>SUM(G326:G563)</f>
        <v>397373387</v>
      </c>
      <c r="H325" s="163"/>
      <c r="I325" s="151">
        <f>SUM(I326:I563)</f>
        <v>302110317</v>
      </c>
      <c r="J325" s="151">
        <f>SUM(J326:J563)</f>
        <v>92567480</v>
      </c>
      <c r="L325" s="122"/>
    </row>
    <row r="326" spans="1:12" s="20" customFormat="1" ht="38.25">
      <c r="A326" s="27" t="s">
        <v>703</v>
      </c>
      <c r="B326" s="15" t="s">
        <v>63</v>
      </c>
      <c r="C326" s="27" t="s">
        <v>839</v>
      </c>
      <c r="D326" s="27" t="s">
        <v>478</v>
      </c>
      <c r="E326" s="25" t="s">
        <v>140</v>
      </c>
      <c r="F326" s="128" t="s">
        <v>997</v>
      </c>
      <c r="G326" s="120">
        <v>157672</v>
      </c>
      <c r="H326" s="164">
        <f aca="true" t="shared" si="4" ref="H326:H389">100-(I326/G326*100)</f>
        <v>8.788497640671778</v>
      </c>
      <c r="I326" s="120">
        <v>143815</v>
      </c>
      <c r="J326" s="120">
        <f>247280-103465-37835</f>
        <v>105980</v>
      </c>
      <c r="K326" s="21"/>
      <c r="L326" s="122"/>
    </row>
    <row r="327" spans="1:12" s="20" customFormat="1" ht="25.5">
      <c r="A327" s="27" t="s">
        <v>703</v>
      </c>
      <c r="B327" s="15" t="s">
        <v>63</v>
      </c>
      <c r="C327" s="27" t="s">
        <v>839</v>
      </c>
      <c r="D327" s="27" t="s">
        <v>478</v>
      </c>
      <c r="E327" s="25" t="s">
        <v>140</v>
      </c>
      <c r="F327" s="128" t="s">
        <v>998</v>
      </c>
      <c r="G327" s="120">
        <v>510490</v>
      </c>
      <c r="H327" s="164">
        <f t="shared" si="4"/>
        <v>0</v>
      </c>
      <c r="I327" s="120">
        <f>483481+27009</f>
        <v>510490</v>
      </c>
      <c r="J327" s="120">
        <v>483481</v>
      </c>
      <c r="K327" s="21"/>
      <c r="L327" s="122"/>
    </row>
    <row r="328" spans="1:12" s="20" customFormat="1" ht="25.5">
      <c r="A328" s="27" t="s">
        <v>703</v>
      </c>
      <c r="B328" s="15" t="s">
        <v>63</v>
      </c>
      <c r="C328" s="27" t="s">
        <v>839</v>
      </c>
      <c r="D328" s="27" t="s">
        <v>478</v>
      </c>
      <c r="E328" s="25" t="s">
        <v>140</v>
      </c>
      <c r="F328" s="128" t="s">
        <v>1115</v>
      </c>
      <c r="G328" s="120">
        <v>125420</v>
      </c>
      <c r="H328" s="164">
        <f t="shared" si="4"/>
        <v>10.903364694626063</v>
      </c>
      <c r="I328" s="120">
        <v>111745</v>
      </c>
      <c r="J328" s="120">
        <f>40514+52125</f>
        <v>92639</v>
      </c>
      <c r="K328" s="21"/>
      <c r="L328" s="122"/>
    </row>
    <row r="329" spans="1:12" s="20" customFormat="1" ht="25.5">
      <c r="A329" s="27" t="s">
        <v>703</v>
      </c>
      <c r="B329" s="15" t="s">
        <v>63</v>
      </c>
      <c r="C329" s="27" t="s">
        <v>839</v>
      </c>
      <c r="D329" s="27" t="s">
        <v>478</v>
      </c>
      <c r="E329" s="25" t="s">
        <v>140</v>
      </c>
      <c r="F329" s="128" t="s">
        <v>1116</v>
      </c>
      <c r="G329" s="120">
        <v>374821</v>
      </c>
      <c r="H329" s="164">
        <f t="shared" si="4"/>
        <v>0</v>
      </c>
      <c r="I329" s="120">
        <f>339559+35262</f>
        <v>374821</v>
      </c>
      <c r="J329" s="120">
        <v>339559</v>
      </c>
      <c r="K329" s="21"/>
      <c r="L329" s="122"/>
    </row>
    <row r="330" spans="1:12" s="20" customFormat="1" ht="25.5">
      <c r="A330" s="27" t="s">
        <v>703</v>
      </c>
      <c r="B330" s="15" t="s">
        <v>63</v>
      </c>
      <c r="C330" s="27" t="s">
        <v>839</v>
      </c>
      <c r="D330" s="27" t="s">
        <v>478</v>
      </c>
      <c r="E330" s="25" t="s">
        <v>140</v>
      </c>
      <c r="F330" s="128" t="s">
        <v>1117</v>
      </c>
      <c r="G330" s="120">
        <v>510490</v>
      </c>
      <c r="H330" s="164">
        <f t="shared" si="4"/>
        <v>0</v>
      </c>
      <c r="I330" s="120">
        <f>470715+39775</f>
        <v>510490</v>
      </c>
      <c r="J330" s="120">
        <v>470715</v>
      </c>
      <c r="K330" s="21"/>
      <c r="L330" s="122"/>
    </row>
    <row r="331" spans="1:12" s="20" customFormat="1" ht="25.5">
      <c r="A331" s="27" t="s">
        <v>703</v>
      </c>
      <c r="B331" s="15" t="s">
        <v>63</v>
      </c>
      <c r="C331" s="27" t="s">
        <v>839</v>
      </c>
      <c r="D331" s="27" t="s">
        <v>478</v>
      </c>
      <c r="E331" s="25" t="s">
        <v>140</v>
      </c>
      <c r="F331" s="128" t="s">
        <v>1118</v>
      </c>
      <c r="G331" s="120">
        <v>193928</v>
      </c>
      <c r="H331" s="164">
        <f t="shared" si="4"/>
        <v>0</v>
      </c>
      <c r="I331" s="120">
        <f>159833+34095</f>
        <v>193928</v>
      </c>
      <c r="J331" s="120">
        <v>159833</v>
      </c>
      <c r="K331" s="21"/>
      <c r="L331" s="122"/>
    </row>
    <row r="332" spans="1:12" s="20" customFormat="1" ht="25.5">
      <c r="A332" s="27" t="s">
        <v>703</v>
      </c>
      <c r="B332" s="15" t="s">
        <v>63</v>
      </c>
      <c r="C332" s="27" t="s">
        <v>839</v>
      </c>
      <c r="D332" s="27" t="s">
        <v>478</v>
      </c>
      <c r="E332" s="25" t="s">
        <v>140</v>
      </c>
      <c r="F332" s="128" t="s">
        <v>1119</v>
      </c>
      <c r="G332" s="120">
        <v>352209</v>
      </c>
      <c r="H332" s="164">
        <f t="shared" si="4"/>
        <v>0</v>
      </c>
      <c r="I332" s="120">
        <f>316752+35457</f>
        <v>352209</v>
      </c>
      <c r="J332" s="120">
        <v>316752</v>
      </c>
      <c r="K332" s="21"/>
      <c r="L332" s="122"/>
    </row>
    <row r="333" spans="1:12" s="20" customFormat="1" ht="25.5">
      <c r="A333" s="27" t="s">
        <v>703</v>
      </c>
      <c r="B333" s="15" t="s">
        <v>63</v>
      </c>
      <c r="C333" s="27" t="s">
        <v>839</v>
      </c>
      <c r="D333" s="27" t="s">
        <v>478</v>
      </c>
      <c r="E333" s="25" t="s">
        <v>140</v>
      </c>
      <c r="F333" s="128" t="s">
        <v>999</v>
      </c>
      <c r="G333" s="120">
        <v>193928</v>
      </c>
      <c r="H333" s="164">
        <f t="shared" si="4"/>
        <v>0</v>
      </c>
      <c r="I333" s="120">
        <f>159570+34358</f>
        <v>193928</v>
      </c>
      <c r="J333" s="120">
        <v>159570</v>
      </c>
      <c r="K333" s="21"/>
      <c r="L333" s="122"/>
    </row>
    <row r="334" spans="1:12" s="20" customFormat="1" ht="25.5" hidden="1">
      <c r="A334" s="27" t="s">
        <v>703</v>
      </c>
      <c r="B334" s="15" t="s">
        <v>63</v>
      </c>
      <c r="C334" s="27" t="s">
        <v>839</v>
      </c>
      <c r="D334" s="27" t="s">
        <v>478</v>
      </c>
      <c r="E334" s="25" t="s">
        <v>140</v>
      </c>
      <c r="F334" s="128" t="s">
        <v>1120</v>
      </c>
      <c r="G334" s="120"/>
      <c r="H334" s="164" t="e">
        <f t="shared" si="4"/>
        <v>#DIV/0!</v>
      </c>
      <c r="I334" s="120"/>
      <c r="J334" s="120">
        <f>131501-131501</f>
        <v>0</v>
      </c>
      <c r="K334" s="21"/>
      <c r="L334" s="122"/>
    </row>
    <row r="335" spans="1:12" s="20" customFormat="1" ht="25.5">
      <c r="A335" s="27" t="s">
        <v>703</v>
      </c>
      <c r="B335" s="15" t="s">
        <v>63</v>
      </c>
      <c r="C335" s="27" t="s">
        <v>839</v>
      </c>
      <c r="D335" s="27" t="s">
        <v>478</v>
      </c>
      <c r="E335" s="25" t="s">
        <v>140</v>
      </c>
      <c r="F335" s="128" t="s">
        <v>1000</v>
      </c>
      <c r="G335" s="120">
        <v>352209</v>
      </c>
      <c r="H335" s="164">
        <f t="shared" si="4"/>
        <v>0</v>
      </c>
      <c r="I335" s="120">
        <f>315176+37033</f>
        <v>352209</v>
      </c>
      <c r="J335" s="120">
        <v>315176</v>
      </c>
      <c r="K335" s="21"/>
      <c r="L335" s="122"/>
    </row>
    <row r="336" spans="1:12" s="20" customFormat="1" ht="25.5">
      <c r="A336" s="27" t="s">
        <v>703</v>
      </c>
      <c r="B336" s="15" t="s">
        <v>63</v>
      </c>
      <c r="C336" s="27" t="s">
        <v>839</v>
      </c>
      <c r="D336" s="27" t="s">
        <v>478</v>
      </c>
      <c r="E336" s="25" t="s">
        <v>140</v>
      </c>
      <c r="F336" s="128" t="s">
        <v>1121</v>
      </c>
      <c r="G336" s="120">
        <v>193928</v>
      </c>
      <c r="H336" s="164">
        <f t="shared" si="4"/>
        <v>0</v>
      </c>
      <c r="I336" s="120">
        <f>156865+37063</f>
        <v>193928</v>
      </c>
      <c r="J336" s="120">
        <v>156865</v>
      </c>
      <c r="K336" s="21"/>
      <c r="L336" s="122"/>
    </row>
    <row r="337" spans="1:12" s="20" customFormat="1" ht="25.5">
      <c r="A337" s="27" t="s">
        <v>703</v>
      </c>
      <c r="B337" s="15" t="s">
        <v>63</v>
      </c>
      <c r="C337" s="27" t="s">
        <v>839</v>
      </c>
      <c r="D337" s="27" t="s">
        <v>478</v>
      </c>
      <c r="E337" s="25" t="s">
        <v>140</v>
      </c>
      <c r="F337" s="128" t="s">
        <v>1001</v>
      </c>
      <c r="G337" s="120">
        <v>261763</v>
      </c>
      <c r="H337" s="164">
        <f t="shared" si="4"/>
        <v>0</v>
      </c>
      <c r="I337" s="120">
        <f>222716+39047</f>
        <v>261763</v>
      </c>
      <c r="J337" s="120">
        <v>222716</v>
      </c>
      <c r="K337" s="21"/>
      <c r="L337" s="122"/>
    </row>
    <row r="338" spans="1:12" s="20" customFormat="1" ht="25.5">
      <c r="A338" s="27" t="s">
        <v>703</v>
      </c>
      <c r="B338" s="15" t="s">
        <v>63</v>
      </c>
      <c r="C338" s="27" t="s">
        <v>839</v>
      </c>
      <c r="D338" s="27" t="s">
        <v>478</v>
      </c>
      <c r="E338" s="25" t="s">
        <v>140</v>
      </c>
      <c r="F338" s="128" t="s">
        <v>1002</v>
      </c>
      <c r="G338" s="120">
        <v>193928</v>
      </c>
      <c r="H338" s="164">
        <f t="shared" si="4"/>
        <v>0</v>
      </c>
      <c r="I338" s="120">
        <f>156295+37633</f>
        <v>193928</v>
      </c>
      <c r="J338" s="120">
        <v>156295</v>
      </c>
      <c r="K338" s="21"/>
      <c r="L338" s="122"/>
    </row>
    <row r="339" spans="1:12" s="20" customFormat="1" ht="25.5" hidden="1">
      <c r="A339" s="27" t="s">
        <v>703</v>
      </c>
      <c r="B339" s="15" t="s">
        <v>63</v>
      </c>
      <c r="C339" s="27" t="s">
        <v>839</v>
      </c>
      <c r="D339" s="27" t="s">
        <v>478</v>
      </c>
      <c r="E339" s="25" t="s">
        <v>140</v>
      </c>
      <c r="F339" s="128" t="s">
        <v>1122</v>
      </c>
      <c r="G339" s="120"/>
      <c r="H339" s="164" t="e">
        <f t="shared" si="4"/>
        <v>#DIV/0!</v>
      </c>
      <c r="I339" s="120"/>
      <c r="J339" s="120">
        <f>182622-182622</f>
        <v>0</v>
      </c>
      <c r="K339" s="21"/>
      <c r="L339" s="122"/>
    </row>
    <row r="340" spans="1:12" s="20" customFormat="1" ht="25.5">
      <c r="A340" s="27" t="s">
        <v>703</v>
      </c>
      <c r="B340" s="15" t="s">
        <v>63</v>
      </c>
      <c r="C340" s="27" t="s">
        <v>839</v>
      </c>
      <c r="D340" s="27" t="s">
        <v>478</v>
      </c>
      <c r="E340" s="25" t="s">
        <v>140</v>
      </c>
      <c r="F340" s="128" t="s">
        <v>1123</v>
      </c>
      <c r="G340" s="120">
        <v>465267</v>
      </c>
      <c r="H340" s="164">
        <f t="shared" si="4"/>
        <v>0</v>
      </c>
      <c r="I340" s="120">
        <f>410994+54273</f>
        <v>465267</v>
      </c>
      <c r="J340" s="120">
        <v>410994</v>
      </c>
      <c r="K340" s="21"/>
      <c r="L340" s="122"/>
    </row>
    <row r="341" spans="1:12" s="20" customFormat="1" ht="25.5">
      <c r="A341" s="27" t="s">
        <v>703</v>
      </c>
      <c r="B341" s="15" t="s">
        <v>63</v>
      </c>
      <c r="C341" s="27" t="s">
        <v>839</v>
      </c>
      <c r="D341" s="27" t="s">
        <v>478</v>
      </c>
      <c r="E341" s="25" t="s">
        <v>140</v>
      </c>
      <c r="F341" s="128" t="s">
        <v>1003</v>
      </c>
      <c r="G341" s="120">
        <v>171317</v>
      </c>
      <c r="H341" s="164">
        <f t="shared" si="4"/>
        <v>0</v>
      </c>
      <c r="I341" s="120">
        <f>136016+35301</f>
        <v>171317</v>
      </c>
      <c r="J341" s="120">
        <v>136016</v>
      </c>
      <c r="K341" s="21"/>
      <c r="L341" s="122"/>
    </row>
    <row r="342" spans="1:12" s="20" customFormat="1" ht="25.5">
      <c r="A342" s="27" t="s">
        <v>703</v>
      </c>
      <c r="B342" s="15" t="s">
        <v>63</v>
      </c>
      <c r="C342" s="27" t="s">
        <v>839</v>
      </c>
      <c r="D342" s="27" t="s">
        <v>478</v>
      </c>
      <c r="E342" s="25" t="s">
        <v>140</v>
      </c>
      <c r="F342" s="128" t="s">
        <v>1004</v>
      </c>
      <c r="G342" s="120">
        <v>126093</v>
      </c>
      <c r="H342" s="164">
        <f t="shared" si="4"/>
        <v>0</v>
      </c>
      <c r="I342" s="120">
        <f>94262+31831</f>
        <v>126093</v>
      </c>
      <c r="J342" s="120">
        <v>94262</v>
      </c>
      <c r="K342" s="21"/>
      <c r="L342" s="122"/>
    </row>
    <row r="343" spans="1:12" s="20" customFormat="1" ht="25.5">
      <c r="A343" s="27" t="s">
        <v>703</v>
      </c>
      <c r="B343" s="15" t="s">
        <v>63</v>
      </c>
      <c r="C343" s="27" t="s">
        <v>839</v>
      </c>
      <c r="D343" s="27" t="s">
        <v>478</v>
      </c>
      <c r="E343" s="25" t="s">
        <v>140</v>
      </c>
      <c r="F343" s="128" t="s">
        <v>1005</v>
      </c>
      <c r="G343" s="120">
        <v>171317</v>
      </c>
      <c r="H343" s="164">
        <f t="shared" si="4"/>
        <v>0</v>
      </c>
      <c r="I343" s="120">
        <f>134299+37018</f>
        <v>171317</v>
      </c>
      <c r="J343" s="120">
        <v>134299</v>
      </c>
      <c r="K343" s="21"/>
      <c r="L343" s="122"/>
    </row>
    <row r="344" spans="1:12" s="20" customFormat="1" ht="25.5">
      <c r="A344" s="27" t="s">
        <v>703</v>
      </c>
      <c r="B344" s="15" t="s">
        <v>63</v>
      </c>
      <c r="C344" s="27" t="s">
        <v>839</v>
      </c>
      <c r="D344" s="27" t="s">
        <v>478</v>
      </c>
      <c r="E344" s="25" t="s">
        <v>140</v>
      </c>
      <c r="F344" s="128" t="s">
        <v>1006</v>
      </c>
      <c r="G344" s="120">
        <v>171317</v>
      </c>
      <c r="H344" s="164">
        <f t="shared" si="4"/>
        <v>0</v>
      </c>
      <c r="I344" s="120">
        <f>134167+37150</f>
        <v>171317</v>
      </c>
      <c r="J344" s="120">
        <v>134167</v>
      </c>
      <c r="K344" s="21"/>
      <c r="L344" s="122"/>
    </row>
    <row r="345" spans="1:12" s="20" customFormat="1" ht="25.5">
      <c r="A345" s="27" t="s">
        <v>703</v>
      </c>
      <c r="B345" s="15" t="s">
        <v>63</v>
      </c>
      <c r="C345" s="27" t="s">
        <v>839</v>
      </c>
      <c r="D345" s="27" t="s">
        <v>478</v>
      </c>
      <c r="E345" s="25" t="s">
        <v>140</v>
      </c>
      <c r="F345" s="128" t="s">
        <v>1007</v>
      </c>
      <c r="G345" s="120">
        <v>171317</v>
      </c>
      <c r="H345" s="164">
        <f t="shared" si="4"/>
        <v>0</v>
      </c>
      <c r="I345" s="120">
        <f>133816+37501</f>
        <v>171317</v>
      </c>
      <c r="J345" s="120">
        <v>133816</v>
      </c>
      <c r="K345" s="21"/>
      <c r="L345" s="122"/>
    </row>
    <row r="346" spans="1:12" s="20" customFormat="1" ht="25.5">
      <c r="A346" s="27" t="s">
        <v>703</v>
      </c>
      <c r="B346" s="15" t="s">
        <v>63</v>
      </c>
      <c r="C346" s="27" t="s">
        <v>839</v>
      </c>
      <c r="D346" s="27" t="s">
        <v>478</v>
      </c>
      <c r="E346" s="25" t="s">
        <v>140</v>
      </c>
      <c r="F346" s="128" t="s">
        <v>1008</v>
      </c>
      <c r="G346" s="120">
        <v>122370</v>
      </c>
      <c r="H346" s="164">
        <f t="shared" si="4"/>
        <v>0</v>
      </c>
      <c r="I346" s="120">
        <v>122370</v>
      </c>
      <c r="J346" s="120">
        <f>136747-29826</f>
        <v>106921</v>
      </c>
      <c r="K346" s="21"/>
      <c r="L346" s="122"/>
    </row>
    <row r="347" spans="1:12" s="20" customFormat="1" ht="25.5">
      <c r="A347" s="27" t="s">
        <v>703</v>
      </c>
      <c r="B347" s="15" t="s">
        <v>63</v>
      </c>
      <c r="C347" s="27" t="s">
        <v>839</v>
      </c>
      <c r="D347" s="27" t="s">
        <v>478</v>
      </c>
      <c r="E347" s="25" t="s">
        <v>140</v>
      </c>
      <c r="F347" s="128" t="s">
        <v>1009</v>
      </c>
      <c r="G347" s="120">
        <v>171317</v>
      </c>
      <c r="H347" s="164">
        <f t="shared" si="4"/>
        <v>0</v>
      </c>
      <c r="I347" s="120">
        <f>130872+40445</f>
        <v>171317</v>
      </c>
      <c r="J347" s="120">
        <v>130872</v>
      </c>
      <c r="K347" s="21"/>
      <c r="L347" s="122"/>
    </row>
    <row r="348" spans="1:12" s="20" customFormat="1" ht="25.5">
      <c r="A348" s="27" t="s">
        <v>703</v>
      </c>
      <c r="B348" s="15" t="s">
        <v>63</v>
      </c>
      <c r="C348" s="27" t="s">
        <v>839</v>
      </c>
      <c r="D348" s="27" t="s">
        <v>478</v>
      </c>
      <c r="E348" s="25" t="s">
        <v>140</v>
      </c>
      <c r="F348" s="128" t="s">
        <v>1124</v>
      </c>
      <c r="G348" s="120">
        <v>193928</v>
      </c>
      <c r="H348" s="164">
        <f t="shared" si="4"/>
        <v>0</v>
      </c>
      <c r="I348" s="120">
        <f>156844+37084</f>
        <v>193928</v>
      </c>
      <c r="J348" s="120">
        <v>156844</v>
      </c>
      <c r="K348" s="21"/>
      <c r="L348" s="122"/>
    </row>
    <row r="349" spans="1:12" s="20" customFormat="1" ht="25.5">
      <c r="A349" s="27" t="s">
        <v>703</v>
      </c>
      <c r="B349" s="15" t="s">
        <v>63</v>
      </c>
      <c r="C349" s="27" t="s">
        <v>839</v>
      </c>
      <c r="D349" s="27" t="s">
        <v>478</v>
      </c>
      <c r="E349" s="25" t="s">
        <v>140</v>
      </c>
      <c r="F349" s="128" t="s">
        <v>1010</v>
      </c>
      <c r="G349" s="120">
        <v>193928</v>
      </c>
      <c r="H349" s="164">
        <f t="shared" si="4"/>
        <v>0</v>
      </c>
      <c r="I349" s="120">
        <f>156778+37150</f>
        <v>193928</v>
      </c>
      <c r="J349" s="120">
        <v>156778</v>
      </c>
      <c r="K349" s="21"/>
      <c r="L349" s="122"/>
    </row>
    <row r="350" spans="1:12" s="20" customFormat="1" ht="25.5">
      <c r="A350" s="27" t="s">
        <v>703</v>
      </c>
      <c r="B350" s="15" t="s">
        <v>63</v>
      </c>
      <c r="C350" s="27" t="s">
        <v>839</v>
      </c>
      <c r="D350" s="27" t="s">
        <v>478</v>
      </c>
      <c r="E350" s="25" t="s">
        <v>140</v>
      </c>
      <c r="F350" s="128" t="s">
        <v>1011</v>
      </c>
      <c r="G350" s="120">
        <v>126093</v>
      </c>
      <c r="H350" s="164">
        <f t="shared" si="4"/>
        <v>0</v>
      </c>
      <c r="I350" s="120">
        <f>94034+32059</f>
        <v>126093</v>
      </c>
      <c r="J350" s="120">
        <v>94034</v>
      </c>
      <c r="K350" s="21"/>
      <c r="L350" s="122"/>
    </row>
    <row r="351" spans="1:12" s="20" customFormat="1" ht="25.5">
      <c r="A351" s="27" t="s">
        <v>703</v>
      </c>
      <c r="B351" s="15" t="s">
        <v>63</v>
      </c>
      <c r="C351" s="27" t="s">
        <v>839</v>
      </c>
      <c r="D351" s="27" t="s">
        <v>478</v>
      </c>
      <c r="E351" s="25" t="s">
        <v>140</v>
      </c>
      <c r="F351" s="128" t="s">
        <v>1125</v>
      </c>
      <c r="G351" s="120">
        <v>193928</v>
      </c>
      <c r="H351" s="164">
        <f t="shared" si="4"/>
        <v>0</v>
      </c>
      <c r="I351" s="120">
        <f>161452+32476</f>
        <v>193928</v>
      </c>
      <c r="J351" s="120">
        <v>161452</v>
      </c>
      <c r="K351" s="21"/>
      <c r="L351" s="122"/>
    </row>
    <row r="352" spans="1:12" s="20" customFormat="1" ht="25.5">
      <c r="A352" s="27" t="s">
        <v>703</v>
      </c>
      <c r="B352" s="15" t="s">
        <v>63</v>
      </c>
      <c r="C352" s="27" t="s">
        <v>839</v>
      </c>
      <c r="D352" s="27" t="s">
        <v>478</v>
      </c>
      <c r="E352" s="25" t="s">
        <v>140</v>
      </c>
      <c r="F352" s="128" t="s">
        <v>1012</v>
      </c>
      <c r="G352" s="120">
        <v>171317</v>
      </c>
      <c r="H352" s="164">
        <f t="shared" si="4"/>
        <v>0</v>
      </c>
      <c r="I352" s="120">
        <f>139367+31950</f>
        <v>171317</v>
      </c>
      <c r="J352" s="120">
        <v>139367</v>
      </c>
      <c r="K352" s="21"/>
      <c r="L352" s="122"/>
    </row>
    <row r="353" spans="1:12" s="20" customFormat="1" ht="25.5">
      <c r="A353" s="27" t="s">
        <v>703</v>
      </c>
      <c r="B353" s="15" t="s">
        <v>63</v>
      </c>
      <c r="C353" s="27" t="s">
        <v>839</v>
      </c>
      <c r="D353" s="27" t="s">
        <v>478</v>
      </c>
      <c r="E353" s="25" t="s">
        <v>140</v>
      </c>
      <c r="F353" s="128" t="s">
        <v>1013</v>
      </c>
      <c r="G353" s="120">
        <v>125027</v>
      </c>
      <c r="H353" s="164">
        <f t="shared" si="4"/>
        <v>12.57248434338183</v>
      </c>
      <c r="I353" s="120">
        <v>109308</v>
      </c>
      <c r="J353" s="120">
        <f>379106-269798-8157</f>
        <v>101151</v>
      </c>
      <c r="K353" s="21"/>
      <c r="L353" s="122"/>
    </row>
    <row r="354" spans="1:12" s="20" customFormat="1" ht="37.5" customHeight="1">
      <c r="A354" s="27" t="s">
        <v>703</v>
      </c>
      <c r="B354" s="15" t="s">
        <v>63</v>
      </c>
      <c r="C354" s="27" t="s">
        <v>839</v>
      </c>
      <c r="D354" s="27" t="s">
        <v>478</v>
      </c>
      <c r="E354" s="25" t="s">
        <v>140</v>
      </c>
      <c r="F354" s="128" t="s">
        <v>1014</v>
      </c>
      <c r="G354" s="120">
        <v>42750</v>
      </c>
      <c r="H354" s="164">
        <f t="shared" si="4"/>
        <v>17.52046783625731</v>
      </c>
      <c r="I354" s="120">
        <v>35260</v>
      </c>
      <c r="J354" s="120">
        <f>108955-73695</f>
        <v>35260</v>
      </c>
      <c r="K354" s="21"/>
      <c r="L354" s="122"/>
    </row>
    <row r="355" spans="1:12" s="20" customFormat="1" ht="25.5">
      <c r="A355" s="27" t="s">
        <v>703</v>
      </c>
      <c r="B355" s="15" t="s">
        <v>63</v>
      </c>
      <c r="C355" s="27" t="s">
        <v>839</v>
      </c>
      <c r="D355" s="27" t="s">
        <v>478</v>
      </c>
      <c r="E355" s="25" t="s">
        <v>140</v>
      </c>
      <c r="F355" s="128" t="s">
        <v>1126</v>
      </c>
      <c r="G355" s="120">
        <v>40615</v>
      </c>
      <c r="H355" s="164">
        <f t="shared" si="4"/>
        <v>18.27403668595346</v>
      </c>
      <c r="I355" s="120">
        <f>23151+10042</f>
        <v>33193</v>
      </c>
      <c r="J355" s="120">
        <f>23151-1021</f>
        <v>22130</v>
      </c>
      <c r="K355" s="21"/>
      <c r="L355" s="122"/>
    </row>
    <row r="356" spans="1:12" s="20" customFormat="1" ht="25.5">
      <c r="A356" s="27" t="s">
        <v>703</v>
      </c>
      <c r="B356" s="15" t="s">
        <v>63</v>
      </c>
      <c r="C356" s="27" t="s">
        <v>839</v>
      </c>
      <c r="D356" s="27" t="s">
        <v>478</v>
      </c>
      <c r="E356" s="25" t="s">
        <v>140</v>
      </c>
      <c r="F356" s="128" t="s">
        <v>1015</v>
      </c>
      <c r="G356" s="120">
        <v>126093</v>
      </c>
      <c r="H356" s="164">
        <f t="shared" si="4"/>
        <v>0</v>
      </c>
      <c r="I356" s="120">
        <f>89373+36720</f>
        <v>126093</v>
      </c>
      <c r="J356" s="120">
        <v>89373</v>
      </c>
      <c r="K356" s="21"/>
      <c r="L356" s="122"/>
    </row>
    <row r="357" spans="1:12" s="20" customFormat="1" ht="25.5">
      <c r="A357" s="27" t="s">
        <v>703</v>
      </c>
      <c r="B357" s="15" t="s">
        <v>63</v>
      </c>
      <c r="C357" s="27" t="s">
        <v>839</v>
      </c>
      <c r="D357" s="27" t="s">
        <v>478</v>
      </c>
      <c r="E357" s="25" t="s">
        <v>140</v>
      </c>
      <c r="F357" s="128" t="s">
        <v>1127</v>
      </c>
      <c r="G357" s="120">
        <v>126093</v>
      </c>
      <c r="H357" s="164">
        <f t="shared" si="4"/>
        <v>0</v>
      </c>
      <c r="I357" s="120">
        <v>126093</v>
      </c>
      <c r="J357" s="120">
        <v>90781</v>
      </c>
      <c r="K357" s="21"/>
      <c r="L357" s="122"/>
    </row>
    <row r="358" spans="1:12" s="20" customFormat="1" ht="25.5">
      <c r="A358" s="27" t="s">
        <v>703</v>
      </c>
      <c r="B358" s="15" t="s">
        <v>63</v>
      </c>
      <c r="C358" s="27" t="s">
        <v>839</v>
      </c>
      <c r="D358" s="27" t="s">
        <v>478</v>
      </c>
      <c r="E358" s="25" t="s">
        <v>140</v>
      </c>
      <c r="F358" s="128" t="s">
        <v>1016</v>
      </c>
      <c r="G358" s="120">
        <v>193928</v>
      </c>
      <c r="H358" s="164">
        <f t="shared" si="4"/>
        <v>0</v>
      </c>
      <c r="I358" s="120">
        <f>157739+36189</f>
        <v>193928</v>
      </c>
      <c r="J358" s="120">
        <v>157739</v>
      </c>
      <c r="K358" s="21"/>
      <c r="L358" s="122"/>
    </row>
    <row r="359" spans="1:12" s="20" customFormat="1" ht="25.5">
      <c r="A359" s="27" t="s">
        <v>703</v>
      </c>
      <c r="B359" s="15" t="s">
        <v>63</v>
      </c>
      <c r="C359" s="27" t="s">
        <v>839</v>
      </c>
      <c r="D359" s="27" t="s">
        <v>478</v>
      </c>
      <c r="E359" s="25" t="s">
        <v>140</v>
      </c>
      <c r="F359" s="128" t="s">
        <v>1128</v>
      </c>
      <c r="G359" s="120">
        <v>43736</v>
      </c>
      <c r="H359" s="164">
        <f t="shared" si="4"/>
        <v>16.302359612218766</v>
      </c>
      <c r="I359" s="120">
        <f>26664+9942</f>
        <v>36606</v>
      </c>
      <c r="J359" s="120">
        <v>26664</v>
      </c>
      <c r="K359" s="21"/>
      <c r="L359" s="122"/>
    </row>
    <row r="360" spans="1:12" s="20" customFormat="1" ht="38.25">
      <c r="A360" s="27" t="s">
        <v>703</v>
      </c>
      <c r="B360" s="15" t="s">
        <v>63</v>
      </c>
      <c r="C360" s="27" t="s">
        <v>839</v>
      </c>
      <c r="D360" s="27" t="s">
        <v>478</v>
      </c>
      <c r="E360" s="25" t="s">
        <v>140</v>
      </c>
      <c r="F360" s="128" t="s">
        <v>1017</v>
      </c>
      <c r="G360" s="120">
        <v>142687</v>
      </c>
      <c r="H360" s="164">
        <f t="shared" si="4"/>
        <v>13.018705277986086</v>
      </c>
      <c r="I360" s="120">
        <v>124111</v>
      </c>
      <c r="J360" s="120">
        <f>407887-283776</f>
        <v>124111</v>
      </c>
      <c r="K360" s="21"/>
      <c r="L360" s="122"/>
    </row>
    <row r="361" spans="1:12" s="20" customFormat="1" ht="25.5">
      <c r="A361" s="27" t="s">
        <v>703</v>
      </c>
      <c r="B361" s="15" t="s">
        <v>63</v>
      </c>
      <c r="C361" s="27" t="s">
        <v>839</v>
      </c>
      <c r="D361" s="27" t="s">
        <v>478</v>
      </c>
      <c r="E361" s="25" t="s">
        <v>140</v>
      </c>
      <c r="F361" s="128" t="s">
        <v>1129</v>
      </c>
      <c r="G361" s="120">
        <v>114467</v>
      </c>
      <c r="H361" s="164">
        <f t="shared" si="4"/>
        <v>8.476678868145399</v>
      </c>
      <c r="I361" s="120">
        <f>96936+7828</f>
        <v>104764</v>
      </c>
      <c r="J361" s="120">
        <f>96936-30156</f>
        <v>66780</v>
      </c>
      <c r="K361" s="21"/>
      <c r="L361" s="122"/>
    </row>
    <row r="362" spans="1:12" s="20" customFormat="1" ht="25.5">
      <c r="A362" s="27" t="s">
        <v>703</v>
      </c>
      <c r="B362" s="15" t="s">
        <v>63</v>
      </c>
      <c r="C362" s="27" t="s">
        <v>839</v>
      </c>
      <c r="D362" s="27" t="s">
        <v>478</v>
      </c>
      <c r="E362" s="25" t="s">
        <v>140</v>
      </c>
      <c r="F362" s="128" t="s">
        <v>1018</v>
      </c>
      <c r="G362" s="120">
        <v>69620</v>
      </c>
      <c r="H362" s="164">
        <f t="shared" si="4"/>
        <v>11.941970698075266</v>
      </c>
      <c r="I362" s="120">
        <f>47844+13462</f>
        <v>61306</v>
      </c>
      <c r="J362" s="120">
        <v>47844</v>
      </c>
      <c r="K362" s="21"/>
      <c r="L362" s="122"/>
    </row>
    <row r="363" spans="1:12" s="20" customFormat="1" ht="25.5">
      <c r="A363" s="27" t="s">
        <v>703</v>
      </c>
      <c r="B363" s="15" t="s">
        <v>63</v>
      </c>
      <c r="C363" s="27" t="s">
        <v>839</v>
      </c>
      <c r="D363" s="27" t="s">
        <v>478</v>
      </c>
      <c r="E363" s="25" t="s">
        <v>140</v>
      </c>
      <c r="F363" s="128" t="s">
        <v>1130</v>
      </c>
      <c r="G363" s="120">
        <v>454667</v>
      </c>
      <c r="H363" s="164">
        <f t="shared" si="4"/>
        <v>0</v>
      </c>
      <c r="I363" s="120">
        <v>454667</v>
      </c>
      <c r="J363" s="120">
        <f>378406-48346</f>
        <v>330060</v>
      </c>
      <c r="K363" s="21"/>
      <c r="L363" s="122"/>
    </row>
    <row r="364" spans="1:12" s="20" customFormat="1" ht="52.5" customHeight="1">
      <c r="A364" s="27" t="s">
        <v>703</v>
      </c>
      <c r="B364" s="15" t="s">
        <v>63</v>
      </c>
      <c r="C364" s="27" t="s">
        <v>839</v>
      </c>
      <c r="D364" s="27" t="s">
        <v>478</v>
      </c>
      <c r="E364" s="25" t="s">
        <v>140</v>
      </c>
      <c r="F364" s="128" t="s">
        <v>1019</v>
      </c>
      <c r="G364" s="120">
        <v>465267</v>
      </c>
      <c r="H364" s="164">
        <f t="shared" si="4"/>
        <v>0</v>
      </c>
      <c r="I364" s="120">
        <f>424271+40996</f>
        <v>465267</v>
      </c>
      <c r="J364" s="120">
        <v>424271</v>
      </c>
      <c r="K364" s="21"/>
      <c r="L364" s="122"/>
    </row>
    <row r="365" spans="1:12" s="20" customFormat="1" ht="25.5">
      <c r="A365" s="27" t="s">
        <v>703</v>
      </c>
      <c r="B365" s="15" t="s">
        <v>63</v>
      </c>
      <c r="C365" s="27" t="s">
        <v>839</v>
      </c>
      <c r="D365" s="27" t="s">
        <v>478</v>
      </c>
      <c r="E365" s="25" t="s">
        <v>140</v>
      </c>
      <c r="F365" s="128" t="s">
        <v>1020</v>
      </c>
      <c r="G365" s="120">
        <v>442655</v>
      </c>
      <c r="H365" s="164">
        <f t="shared" si="4"/>
        <v>0</v>
      </c>
      <c r="I365" s="120">
        <f>405396+37259</f>
        <v>442655</v>
      </c>
      <c r="J365" s="120">
        <v>405396</v>
      </c>
      <c r="K365" s="21"/>
      <c r="L365" s="122"/>
    </row>
    <row r="366" spans="1:12" s="20" customFormat="1" ht="25.5">
      <c r="A366" s="27" t="s">
        <v>703</v>
      </c>
      <c r="B366" s="15" t="s">
        <v>63</v>
      </c>
      <c r="C366" s="27" t="s">
        <v>839</v>
      </c>
      <c r="D366" s="27" t="s">
        <v>478</v>
      </c>
      <c r="E366" s="25" t="s">
        <v>140</v>
      </c>
      <c r="F366" s="128" t="s">
        <v>1131</v>
      </c>
      <c r="G366" s="120">
        <v>223879</v>
      </c>
      <c r="H366" s="164">
        <f t="shared" si="4"/>
        <v>6.4490193363379404</v>
      </c>
      <c r="I366" s="120">
        <v>209441</v>
      </c>
      <c r="J366" s="120">
        <f>424257-214816</f>
        <v>209441</v>
      </c>
      <c r="K366" s="21"/>
      <c r="L366" s="122"/>
    </row>
    <row r="367" spans="1:12" s="20" customFormat="1" ht="25.5">
      <c r="A367" s="27" t="s">
        <v>703</v>
      </c>
      <c r="B367" s="15" t="s">
        <v>63</v>
      </c>
      <c r="C367" s="27" t="s">
        <v>839</v>
      </c>
      <c r="D367" s="27" t="s">
        <v>478</v>
      </c>
      <c r="E367" s="25" t="s">
        <v>140</v>
      </c>
      <c r="F367" s="128" t="s">
        <v>1021</v>
      </c>
      <c r="G367" s="120">
        <v>216540</v>
      </c>
      <c r="H367" s="164">
        <f t="shared" si="4"/>
        <v>0</v>
      </c>
      <c r="I367" s="120">
        <f>181617+34923</f>
        <v>216540</v>
      </c>
      <c r="J367" s="120">
        <v>181617</v>
      </c>
      <c r="K367" s="21"/>
      <c r="L367" s="122"/>
    </row>
    <row r="368" spans="1:12" s="20" customFormat="1" ht="25.5">
      <c r="A368" s="27" t="s">
        <v>703</v>
      </c>
      <c r="B368" s="15" t="s">
        <v>63</v>
      </c>
      <c r="C368" s="27" t="s">
        <v>839</v>
      </c>
      <c r="D368" s="27" t="s">
        <v>478</v>
      </c>
      <c r="E368" s="25" t="s">
        <v>140</v>
      </c>
      <c r="F368" s="44" t="s">
        <v>1311</v>
      </c>
      <c r="G368" s="120">
        <v>284374</v>
      </c>
      <c r="H368" s="164">
        <f t="shared" si="4"/>
        <v>5.075006857166969</v>
      </c>
      <c r="I368" s="120">
        <v>269942</v>
      </c>
      <c r="J368" s="120">
        <f>266889-118995+118995</f>
        <v>266889</v>
      </c>
      <c r="K368" s="21"/>
      <c r="L368" s="122"/>
    </row>
    <row r="369" spans="1:12" s="20" customFormat="1" ht="25.5">
      <c r="A369" s="27" t="s">
        <v>703</v>
      </c>
      <c r="B369" s="15" t="s">
        <v>63</v>
      </c>
      <c r="C369" s="27" t="s">
        <v>839</v>
      </c>
      <c r="D369" s="27" t="s">
        <v>478</v>
      </c>
      <c r="E369" s="25" t="s">
        <v>140</v>
      </c>
      <c r="F369" s="128" t="s">
        <v>1022</v>
      </c>
      <c r="G369" s="120">
        <v>465267</v>
      </c>
      <c r="H369" s="164">
        <f t="shared" si="4"/>
        <v>0</v>
      </c>
      <c r="I369" s="120">
        <f>427456+37811</f>
        <v>465267</v>
      </c>
      <c r="J369" s="120">
        <v>427456</v>
      </c>
      <c r="K369" s="21"/>
      <c r="L369" s="122"/>
    </row>
    <row r="370" spans="1:12" s="20" customFormat="1" ht="25.5">
      <c r="A370" s="27" t="s">
        <v>703</v>
      </c>
      <c r="B370" s="15" t="s">
        <v>63</v>
      </c>
      <c r="C370" s="27" t="s">
        <v>839</v>
      </c>
      <c r="D370" s="27" t="s">
        <v>478</v>
      </c>
      <c r="E370" s="25" t="s">
        <v>140</v>
      </c>
      <c r="F370" s="128" t="s">
        <v>1023</v>
      </c>
      <c r="G370" s="120">
        <v>623548</v>
      </c>
      <c r="H370" s="164">
        <f t="shared" si="4"/>
        <v>0</v>
      </c>
      <c r="I370" s="120">
        <f>582520+41028</f>
        <v>623548</v>
      </c>
      <c r="J370" s="120">
        <v>582520</v>
      </c>
      <c r="K370" s="21"/>
      <c r="L370" s="122"/>
    </row>
    <row r="371" spans="1:12" s="20" customFormat="1" ht="25.5">
      <c r="A371" s="27" t="s">
        <v>703</v>
      </c>
      <c r="B371" s="15" t="s">
        <v>63</v>
      </c>
      <c r="C371" s="27" t="s">
        <v>839</v>
      </c>
      <c r="D371" s="27" t="s">
        <v>478</v>
      </c>
      <c r="E371" s="25" t="s">
        <v>140</v>
      </c>
      <c r="F371" s="128" t="s">
        <v>1024</v>
      </c>
      <c r="G371" s="120">
        <v>171317</v>
      </c>
      <c r="H371" s="164">
        <f t="shared" si="4"/>
        <v>0</v>
      </c>
      <c r="I371" s="120">
        <f>135091+36226</f>
        <v>171317</v>
      </c>
      <c r="J371" s="120">
        <v>135091</v>
      </c>
      <c r="K371" s="21"/>
      <c r="L371" s="122"/>
    </row>
    <row r="372" spans="1:12" s="20" customFormat="1" ht="25.5">
      <c r="A372" s="27" t="s">
        <v>703</v>
      </c>
      <c r="B372" s="15" t="s">
        <v>63</v>
      </c>
      <c r="C372" s="27" t="s">
        <v>839</v>
      </c>
      <c r="D372" s="27" t="s">
        <v>478</v>
      </c>
      <c r="E372" s="25" t="s">
        <v>140</v>
      </c>
      <c r="F372" s="128" t="s">
        <v>1025</v>
      </c>
      <c r="G372" s="120">
        <v>216540</v>
      </c>
      <c r="H372" s="164">
        <f t="shared" si="4"/>
        <v>8.24143345340353</v>
      </c>
      <c r="I372" s="120">
        <f>180803+17891</f>
        <v>198694</v>
      </c>
      <c r="J372" s="120">
        <v>180803</v>
      </c>
      <c r="K372" s="21"/>
      <c r="L372" s="122"/>
    </row>
    <row r="373" spans="1:12" s="20" customFormat="1" ht="38.25">
      <c r="A373" s="27" t="s">
        <v>703</v>
      </c>
      <c r="B373" s="15" t="s">
        <v>63</v>
      </c>
      <c r="C373" s="27" t="s">
        <v>839</v>
      </c>
      <c r="D373" s="27" t="s">
        <v>478</v>
      </c>
      <c r="E373" s="25" t="s">
        <v>140</v>
      </c>
      <c r="F373" s="128" t="s">
        <v>1132</v>
      </c>
      <c r="G373" s="120">
        <v>239151</v>
      </c>
      <c r="H373" s="164">
        <f t="shared" si="4"/>
        <v>0</v>
      </c>
      <c r="I373" s="120">
        <f>205645+33506</f>
        <v>239151</v>
      </c>
      <c r="J373" s="120">
        <v>205645</v>
      </c>
      <c r="K373" s="21"/>
      <c r="L373" s="122"/>
    </row>
    <row r="374" spans="1:12" s="20" customFormat="1" ht="25.5">
      <c r="A374" s="27" t="s">
        <v>703</v>
      </c>
      <c r="B374" s="15" t="s">
        <v>63</v>
      </c>
      <c r="C374" s="27" t="s">
        <v>839</v>
      </c>
      <c r="D374" s="27" t="s">
        <v>478</v>
      </c>
      <c r="E374" s="25" t="s">
        <v>140</v>
      </c>
      <c r="F374" s="128" t="s">
        <v>1026</v>
      </c>
      <c r="G374" s="120">
        <v>239151</v>
      </c>
      <c r="H374" s="164">
        <f t="shared" si="4"/>
        <v>0</v>
      </c>
      <c r="I374" s="120">
        <f>206394+32757</f>
        <v>239151</v>
      </c>
      <c r="J374" s="120">
        <v>206394</v>
      </c>
      <c r="K374" s="21"/>
      <c r="L374" s="122"/>
    </row>
    <row r="375" spans="1:12" s="20" customFormat="1" ht="25.5">
      <c r="A375" s="27" t="s">
        <v>703</v>
      </c>
      <c r="B375" s="15" t="s">
        <v>63</v>
      </c>
      <c r="C375" s="27" t="s">
        <v>839</v>
      </c>
      <c r="D375" s="27" t="s">
        <v>478</v>
      </c>
      <c r="E375" s="25" t="s">
        <v>140</v>
      </c>
      <c r="F375" s="128" t="s">
        <v>1209</v>
      </c>
      <c r="G375" s="120">
        <v>93672</v>
      </c>
      <c r="H375" s="164">
        <f t="shared" si="4"/>
        <v>9.652831155521397</v>
      </c>
      <c r="I375" s="120">
        <v>84630</v>
      </c>
      <c r="J375" s="120">
        <f>176724-92094</f>
        <v>84630</v>
      </c>
      <c r="K375" s="21"/>
      <c r="L375" s="122"/>
    </row>
    <row r="376" spans="1:12" s="20" customFormat="1" ht="25.5">
      <c r="A376" s="27" t="s">
        <v>703</v>
      </c>
      <c r="B376" s="15" t="s">
        <v>63</v>
      </c>
      <c r="C376" s="27" t="s">
        <v>839</v>
      </c>
      <c r="D376" s="27" t="s">
        <v>478</v>
      </c>
      <c r="E376" s="25" t="s">
        <v>140</v>
      </c>
      <c r="F376" s="128" t="s">
        <v>1210</v>
      </c>
      <c r="G376" s="120">
        <v>116573</v>
      </c>
      <c r="H376" s="164">
        <f t="shared" si="4"/>
        <v>13.42849544920351</v>
      </c>
      <c r="I376" s="120">
        <v>100919</v>
      </c>
      <c r="J376" s="120">
        <f>180136-79217</f>
        <v>100919</v>
      </c>
      <c r="K376" s="21"/>
      <c r="L376" s="122"/>
    </row>
    <row r="377" spans="1:12" s="20" customFormat="1" ht="25.5">
      <c r="A377" s="27" t="s">
        <v>703</v>
      </c>
      <c r="B377" s="15" t="s">
        <v>63</v>
      </c>
      <c r="C377" s="27" t="s">
        <v>839</v>
      </c>
      <c r="D377" s="27" t="s">
        <v>478</v>
      </c>
      <c r="E377" s="25" t="s">
        <v>140</v>
      </c>
      <c r="F377" s="128" t="s">
        <v>1027</v>
      </c>
      <c r="G377" s="120">
        <v>510490</v>
      </c>
      <c r="H377" s="164">
        <f t="shared" si="4"/>
        <v>0</v>
      </c>
      <c r="I377" s="120">
        <f>470408+40082</f>
        <v>510490</v>
      </c>
      <c r="J377" s="120">
        <v>470408</v>
      </c>
      <c r="K377" s="21"/>
      <c r="L377" s="122"/>
    </row>
    <row r="378" spans="1:12" s="20" customFormat="1" ht="25.5">
      <c r="A378" s="27" t="s">
        <v>703</v>
      </c>
      <c r="B378" s="15" t="s">
        <v>63</v>
      </c>
      <c r="C378" s="27" t="s">
        <v>839</v>
      </c>
      <c r="D378" s="27" t="s">
        <v>478</v>
      </c>
      <c r="E378" s="25" t="s">
        <v>140</v>
      </c>
      <c r="F378" s="128" t="s">
        <v>1133</v>
      </c>
      <c r="G378" s="120">
        <v>216540</v>
      </c>
      <c r="H378" s="164">
        <f t="shared" si="4"/>
        <v>11.076013669529885</v>
      </c>
      <c r="I378" s="120">
        <f>192556</f>
        <v>192556</v>
      </c>
      <c r="J378" s="120">
        <f>174226-10397+10397</f>
        <v>174226</v>
      </c>
      <c r="K378" s="21"/>
      <c r="L378" s="122"/>
    </row>
    <row r="379" spans="1:12" s="20" customFormat="1" ht="25.5">
      <c r="A379" s="27" t="s">
        <v>703</v>
      </c>
      <c r="B379" s="15" t="s">
        <v>63</v>
      </c>
      <c r="C379" s="27" t="s">
        <v>839</v>
      </c>
      <c r="D379" s="27" t="s">
        <v>478</v>
      </c>
      <c r="E379" s="25" t="s">
        <v>140</v>
      </c>
      <c r="F379" s="128" t="s">
        <v>1134</v>
      </c>
      <c r="G379" s="120">
        <v>115136</v>
      </c>
      <c r="H379" s="164">
        <f t="shared" si="4"/>
        <v>9.8804891606448</v>
      </c>
      <c r="I379" s="120">
        <v>103760</v>
      </c>
      <c r="J379" s="120">
        <f>221688-117928</f>
        <v>103760</v>
      </c>
      <c r="K379" s="21"/>
      <c r="L379" s="122"/>
    </row>
    <row r="380" spans="1:12" s="20" customFormat="1" ht="25.5">
      <c r="A380" s="27" t="s">
        <v>703</v>
      </c>
      <c r="B380" s="15" t="s">
        <v>63</v>
      </c>
      <c r="C380" s="27" t="s">
        <v>839</v>
      </c>
      <c r="D380" s="27" t="s">
        <v>478</v>
      </c>
      <c r="E380" s="25" t="s">
        <v>140</v>
      </c>
      <c r="F380" s="128" t="s">
        <v>1028</v>
      </c>
      <c r="G380" s="120">
        <v>862436</v>
      </c>
      <c r="H380" s="164">
        <f t="shared" si="4"/>
        <v>0</v>
      </c>
      <c r="I380" s="120">
        <v>862436</v>
      </c>
      <c r="J380" s="120">
        <f>461590+332251</f>
        <v>793841</v>
      </c>
      <c r="K380" s="21"/>
      <c r="L380" s="122"/>
    </row>
    <row r="381" spans="1:12" s="20" customFormat="1" ht="25.5">
      <c r="A381" s="27" t="s">
        <v>703</v>
      </c>
      <c r="B381" s="15" t="s">
        <v>63</v>
      </c>
      <c r="C381" s="27" t="s">
        <v>839</v>
      </c>
      <c r="D381" s="27" t="s">
        <v>478</v>
      </c>
      <c r="E381" s="25" t="s">
        <v>140</v>
      </c>
      <c r="F381" s="128" t="s">
        <v>1135</v>
      </c>
      <c r="G381" s="120">
        <v>126093</v>
      </c>
      <c r="H381" s="164">
        <f t="shared" si="4"/>
        <v>0</v>
      </c>
      <c r="I381" s="120">
        <f>93357+32736</f>
        <v>126093</v>
      </c>
      <c r="J381" s="120">
        <v>93357</v>
      </c>
      <c r="K381" s="21"/>
      <c r="L381" s="122"/>
    </row>
    <row r="382" spans="1:12" s="20" customFormat="1" ht="25.5">
      <c r="A382" s="27" t="s">
        <v>703</v>
      </c>
      <c r="B382" s="15" t="s">
        <v>63</v>
      </c>
      <c r="C382" s="27" t="s">
        <v>839</v>
      </c>
      <c r="D382" s="27" t="s">
        <v>478</v>
      </c>
      <c r="E382" s="25" t="s">
        <v>140</v>
      </c>
      <c r="F382" s="128" t="s">
        <v>1136</v>
      </c>
      <c r="G382" s="120">
        <v>154385</v>
      </c>
      <c r="H382" s="164">
        <f t="shared" si="4"/>
        <v>10.72254428862908</v>
      </c>
      <c r="I382" s="120">
        <v>137831</v>
      </c>
      <c r="J382" s="120">
        <f>90803+19275</f>
        <v>110078</v>
      </c>
      <c r="K382" s="21"/>
      <c r="L382" s="122"/>
    </row>
    <row r="383" spans="1:12" s="20" customFormat="1" ht="25.5">
      <c r="A383" s="27" t="s">
        <v>703</v>
      </c>
      <c r="B383" s="15" t="s">
        <v>63</v>
      </c>
      <c r="C383" s="27" t="s">
        <v>839</v>
      </c>
      <c r="D383" s="27" t="s">
        <v>478</v>
      </c>
      <c r="E383" s="25" t="s">
        <v>140</v>
      </c>
      <c r="F383" s="128" t="s">
        <v>1029</v>
      </c>
      <c r="G383" s="120">
        <v>145078</v>
      </c>
      <c r="H383" s="164">
        <f t="shared" si="4"/>
        <v>6.987965094638753</v>
      </c>
      <c r="I383" s="120">
        <f>127940+7000</f>
        <v>134940</v>
      </c>
      <c r="J383" s="120">
        <v>127940</v>
      </c>
      <c r="K383" s="21"/>
      <c r="L383" s="122"/>
    </row>
    <row r="384" spans="1:12" s="20" customFormat="1" ht="25.5">
      <c r="A384" s="27" t="s">
        <v>703</v>
      </c>
      <c r="B384" s="15" t="s">
        <v>63</v>
      </c>
      <c r="C384" s="27" t="s">
        <v>839</v>
      </c>
      <c r="D384" s="27" t="s">
        <v>478</v>
      </c>
      <c r="E384" s="25" t="s">
        <v>140</v>
      </c>
      <c r="F384" s="128" t="s">
        <v>1030</v>
      </c>
      <c r="G384" s="120">
        <v>397432</v>
      </c>
      <c r="H384" s="164">
        <f t="shared" si="4"/>
        <v>0</v>
      </c>
      <c r="I384" s="120">
        <f>358266+39166</f>
        <v>397432</v>
      </c>
      <c r="J384" s="120">
        <v>358266</v>
      </c>
      <c r="K384" s="21"/>
      <c r="L384" s="122"/>
    </row>
    <row r="385" spans="1:12" s="20" customFormat="1" ht="25.5">
      <c r="A385" s="27" t="s">
        <v>703</v>
      </c>
      <c r="B385" s="15" t="s">
        <v>63</v>
      </c>
      <c r="C385" s="27" t="s">
        <v>839</v>
      </c>
      <c r="D385" s="27" t="s">
        <v>478</v>
      </c>
      <c r="E385" s="25" t="s">
        <v>140</v>
      </c>
      <c r="F385" s="128" t="s">
        <v>1031</v>
      </c>
      <c r="G385" s="120">
        <v>59784</v>
      </c>
      <c r="H385" s="164">
        <f t="shared" si="4"/>
        <v>13.170748026227756</v>
      </c>
      <c r="I385" s="120">
        <f>42791+9119</f>
        <v>51910</v>
      </c>
      <c r="J385" s="120">
        <v>42791</v>
      </c>
      <c r="K385" s="21"/>
      <c r="L385" s="122"/>
    </row>
    <row r="386" spans="1:12" s="20" customFormat="1" ht="25.5">
      <c r="A386" s="27" t="s">
        <v>703</v>
      </c>
      <c r="B386" s="15" t="s">
        <v>63</v>
      </c>
      <c r="C386" s="27" t="s">
        <v>839</v>
      </c>
      <c r="D386" s="27" t="s">
        <v>478</v>
      </c>
      <c r="E386" s="25" t="s">
        <v>140</v>
      </c>
      <c r="F386" s="128" t="s">
        <v>1032</v>
      </c>
      <c r="G386" s="120">
        <v>162065</v>
      </c>
      <c r="H386" s="164">
        <f t="shared" si="4"/>
        <v>10.588344182889585</v>
      </c>
      <c r="I386" s="120">
        <v>144905</v>
      </c>
      <c r="J386" s="120">
        <f>134913-29402</f>
        <v>105511</v>
      </c>
      <c r="K386" s="21"/>
      <c r="L386" s="122"/>
    </row>
    <row r="387" spans="1:12" s="20" customFormat="1" ht="25.5">
      <c r="A387" s="27" t="s">
        <v>703</v>
      </c>
      <c r="B387" s="15" t="s">
        <v>63</v>
      </c>
      <c r="C387" s="27" t="s">
        <v>839</v>
      </c>
      <c r="D387" s="27" t="s">
        <v>478</v>
      </c>
      <c r="E387" s="25" t="s">
        <v>140</v>
      </c>
      <c r="F387" s="128" t="s">
        <v>1033</v>
      </c>
      <c r="G387" s="120">
        <v>170653</v>
      </c>
      <c r="H387" s="164">
        <f t="shared" si="4"/>
        <v>10.237733881033435</v>
      </c>
      <c r="I387" s="120">
        <v>153182</v>
      </c>
      <c r="J387" s="120">
        <f>179524-26342-47921</f>
        <v>105261</v>
      </c>
      <c r="K387" s="21"/>
      <c r="L387" s="122"/>
    </row>
    <row r="388" spans="1:12" s="20" customFormat="1" ht="25.5">
      <c r="A388" s="27" t="s">
        <v>703</v>
      </c>
      <c r="B388" s="15" t="s">
        <v>63</v>
      </c>
      <c r="C388" s="27" t="s">
        <v>839</v>
      </c>
      <c r="D388" s="27" t="s">
        <v>478</v>
      </c>
      <c r="E388" s="25" t="s">
        <v>140</v>
      </c>
      <c r="F388" s="128" t="s">
        <v>1034</v>
      </c>
      <c r="G388" s="120">
        <v>89279</v>
      </c>
      <c r="H388" s="164">
        <f t="shared" si="4"/>
        <v>9.827619036951575</v>
      </c>
      <c r="I388" s="120">
        <f>72141+8364</f>
        <v>80505</v>
      </c>
      <c r="J388" s="120">
        <v>72141</v>
      </c>
      <c r="K388" s="21"/>
      <c r="L388" s="122"/>
    </row>
    <row r="389" spans="1:12" s="20" customFormat="1" ht="25.5">
      <c r="A389" s="27" t="s">
        <v>703</v>
      </c>
      <c r="B389" s="15" t="s">
        <v>63</v>
      </c>
      <c r="C389" s="27" t="s">
        <v>839</v>
      </c>
      <c r="D389" s="27" t="s">
        <v>478</v>
      </c>
      <c r="E389" s="25" t="s">
        <v>140</v>
      </c>
      <c r="F389" s="128" t="s">
        <v>1137</v>
      </c>
      <c r="G389" s="120">
        <v>76778</v>
      </c>
      <c r="H389" s="164">
        <f t="shared" si="4"/>
        <v>19.28156503164969</v>
      </c>
      <c r="I389" s="120">
        <v>61974</v>
      </c>
      <c r="J389" s="120">
        <f>158425-96451</f>
        <v>61974</v>
      </c>
      <c r="K389" s="21"/>
      <c r="L389" s="122"/>
    </row>
    <row r="390" spans="1:12" s="20" customFormat="1" ht="25.5">
      <c r="A390" s="27" t="s">
        <v>703</v>
      </c>
      <c r="B390" s="15" t="s">
        <v>63</v>
      </c>
      <c r="C390" s="27" t="s">
        <v>839</v>
      </c>
      <c r="D390" s="27" t="s">
        <v>478</v>
      </c>
      <c r="E390" s="25" t="s">
        <v>140</v>
      </c>
      <c r="F390" s="128" t="s">
        <v>1035</v>
      </c>
      <c r="G390" s="120">
        <v>81694</v>
      </c>
      <c r="H390" s="164">
        <f aca="true" t="shared" si="5" ref="H390:H515">100-(I390/G390*100)</f>
        <v>10.638480182143113</v>
      </c>
      <c r="I390" s="120">
        <f>64629+8374</f>
        <v>73003</v>
      </c>
      <c r="J390" s="120">
        <v>64629</v>
      </c>
      <c r="K390" s="21"/>
      <c r="L390" s="122"/>
    </row>
    <row r="391" spans="1:12" s="20" customFormat="1" ht="42.75" customHeight="1">
      <c r="A391" s="27" t="s">
        <v>703</v>
      </c>
      <c r="B391" s="15" t="s">
        <v>63</v>
      </c>
      <c r="C391" s="27" t="s">
        <v>839</v>
      </c>
      <c r="D391" s="27" t="s">
        <v>478</v>
      </c>
      <c r="E391" s="25" t="s">
        <v>140</v>
      </c>
      <c r="F391" s="128" t="s">
        <v>1036</v>
      </c>
      <c r="G391" s="120">
        <v>239358</v>
      </c>
      <c r="H391" s="164">
        <f t="shared" si="5"/>
        <v>8.289257096065299</v>
      </c>
      <c r="I391" s="120">
        <v>219517</v>
      </c>
      <c r="J391" s="120">
        <f>269076-49559-48701</f>
        <v>170816</v>
      </c>
      <c r="K391" s="21"/>
      <c r="L391" s="122"/>
    </row>
    <row r="392" spans="1:12" s="20" customFormat="1" ht="25.5">
      <c r="A392" s="27" t="s">
        <v>703</v>
      </c>
      <c r="B392" s="15" t="s">
        <v>63</v>
      </c>
      <c r="C392" s="27" t="s">
        <v>839</v>
      </c>
      <c r="D392" s="27" t="s">
        <v>478</v>
      </c>
      <c r="E392" s="25" t="s">
        <v>140</v>
      </c>
      <c r="F392" s="128" t="s">
        <v>1138</v>
      </c>
      <c r="G392" s="120">
        <v>510490</v>
      </c>
      <c r="H392" s="164">
        <f t="shared" si="5"/>
        <v>0</v>
      </c>
      <c r="I392" s="120">
        <f>468582+41908</f>
        <v>510490</v>
      </c>
      <c r="J392" s="120">
        <v>468582</v>
      </c>
      <c r="K392" s="21"/>
      <c r="L392" s="122"/>
    </row>
    <row r="393" spans="1:12" s="20" customFormat="1" ht="51">
      <c r="A393" s="27" t="s">
        <v>703</v>
      </c>
      <c r="B393" s="15" t="s">
        <v>63</v>
      </c>
      <c r="C393" s="27" t="s">
        <v>839</v>
      </c>
      <c r="D393" s="27" t="s">
        <v>478</v>
      </c>
      <c r="E393" s="25" t="s">
        <v>140</v>
      </c>
      <c r="F393" s="128" t="s">
        <v>1037</v>
      </c>
      <c r="G393" s="120">
        <v>713994</v>
      </c>
      <c r="H393" s="164">
        <f t="shared" si="5"/>
        <v>0</v>
      </c>
      <c r="I393" s="120">
        <f>642455+71539</f>
        <v>713994</v>
      </c>
      <c r="J393" s="120">
        <v>642455</v>
      </c>
      <c r="K393" s="21"/>
      <c r="L393" s="122"/>
    </row>
    <row r="394" spans="1:12" s="20" customFormat="1" ht="25.5">
      <c r="A394" s="27" t="s">
        <v>703</v>
      </c>
      <c r="B394" s="15" t="s">
        <v>63</v>
      </c>
      <c r="C394" s="27" t="s">
        <v>839</v>
      </c>
      <c r="D394" s="27" t="s">
        <v>478</v>
      </c>
      <c r="E394" s="25" t="s">
        <v>140</v>
      </c>
      <c r="F394" s="128" t="s">
        <v>1139</v>
      </c>
      <c r="G394" s="120">
        <v>1155889</v>
      </c>
      <c r="H394" s="164">
        <f t="shared" si="5"/>
        <v>89.97403729942927</v>
      </c>
      <c r="I394" s="120">
        <v>115889</v>
      </c>
      <c r="J394" s="120">
        <f>1887742-731853</f>
        <v>1155889</v>
      </c>
      <c r="K394" s="21"/>
      <c r="L394" s="122"/>
    </row>
    <row r="395" spans="1:12" s="20" customFormat="1" ht="25.5">
      <c r="A395" s="27" t="s">
        <v>703</v>
      </c>
      <c r="B395" s="15" t="s">
        <v>63</v>
      </c>
      <c r="C395" s="27" t="s">
        <v>839</v>
      </c>
      <c r="D395" s="27" t="s">
        <v>478</v>
      </c>
      <c r="E395" s="25" t="s">
        <v>140</v>
      </c>
      <c r="F395" s="128" t="s">
        <v>1140</v>
      </c>
      <c r="G395" s="120">
        <v>555713</v>
      </c>
      <c r="H395" s="164">
        <f t="shared" si="5"/>
        <v>0</v>
      </c>
      <c r="I395" s="120">
        <f>512351+43362</f>
        <v>555713</v>
      </c>
      <c r="J395" s="120">
        <v>512351</v>
      </c>
      <c r="K395" s="21"/>
      <c r="L395" s="122"/>
    </row>
    <row r="396" spans="1:12" s="20" customFormat="1" ht="25.5">
      <c r="A396" s="27" t="s">
        <v>703</v>
      </c>
      <c r="B396" s="15" t="s">
        <v>63</v>
      </c>
      <c r="C396" s="27" t="s">
        <v>839</v>
      </c>
      <c r="D396" s="27" t="s">
        <v>478</v>
      </c>
      <c r="E396" s="25" t="s">
        <v>140</v>
      </c>
      <c r="F396" s="128" t="s">
        <v>1038</v>
      </c>
      <c r="G396" s="120">
        <v>284374</v>
      </c>
      <c r="H396" s="164">
        <f t="shared" si="5"/>
        <v>0</v>
      </c>
      <c r="I396" s="120">
        <f>245761+38613</f>
        <v>284374</v>
      </c>
      <c r="J396" s="120">
        <v>245761</v>
      </c>
      <c r="K396" s="21"/>
      <c r="L396" s="122"/>
    </row>
    <row r="397" spans="1:12" s="20" customFormat="1" ht="25.5">
      <c r="A397" s="27" t="s">
        <v>703</v>
      </c>
      <c r="B397" s="15" t="s">
        <v>63</v>
      </c>
      <c r="C397" s="27" t="s">
        <v>839</v>
      </c>
      <c r="D397" s="27" t="s">
        <v>478</v>
      </c>
      <c r="E397" s="25" t="s">
        <v>140</v>
      </c>
      <c r="F397" s="128" t="s">
        <v>1141</v>
      </c>
      <c r="G397" s="120">
        <v>216540</v>
      </c>
      <c r="H397" s="164">
        <f t="shared" si="5"/>
        <v>0</v>
      </c>
      <c r="I397" s="120">
        <f>203299+13241</f>
        <v>216540</v>
      </c>
      <c r="J397" s="120">
        <v>203299</v>
      </c>
      <c r="K397" s="21"/>
      <c r="L397" s="122"/>
    </row>
    <row r="398" spans="1:12" s="20" customFormat="1" ht="25.5">
      <c r="A398" s="27" t="s">
        <v>703</v>
      </c>
      <c r="B398" s="15" t="s">
        <v>63</v>
      </c>
      <c r="C398" s="27" t="s">
        <v>839</v>
      </c>
      <c r="D398" s="27" t="s">
        <v>478</v>
      </c>
      <c r="E398" s="25" t="s">
        <v>140</v>
      </c>
      <c r="F398" s="128" t="s">
        <v>1039</v>
      </c>
      <c r="G398" s="120">
        <v>816965</v>
      </c>
      <c r="H398" s="164">
        <f t="shared" si="5"/>
        <v>0</v>
      </c>
      <c r="I398" s="120">
        <v>816965</v>
      </c>
      <c r="J398" s="120">
        <f>1348047-531082</f>
        <v>816965</v>
      </c>
      <c r="K398" s="21"/>
      <c r="L398" s="122"/>
    </row>
    <row r="399" spans="1:12" s="20" customFormat="1" ht="25.5">
      <c r="A399" s="27" t="s">
        <v>703</v>
      </c>
      <c r="B399" s="15" t="s">
        <v>63</v>
      </c>
      <c r="C399" s="27" t="s">
        <v>839</v>
      </c>
      <c r="D399" s="27" t="s">
        <v>478</v>
      </c>
      <c r="E399" s="25" t="s">
        <v>140</v>
      </c>
      <c r="F399" s="128" t="s">
        <v>1040</v>
      </c>
      <c r="G399" s="120">
        <v>257004</v>
      </c>
      <c r="H399" s="164">
        <f t="shared" si="5"/>
        <v>8.348119095422632</v>
      </c>
      <c r="I399" s="120">
        <v>235549</v>
      </c>
      <c r="J399" s="120">
        <f>401119-165570-79769</f>
        <v>155780</v>
      </c>
      <c r="K399" s="21"/>
      <c r="L399" s="122"/>
    </row>
    <row r="400" spans="1:12" s="20" customFormat="1" ht="25.5">
      <c r="A400" s="27" t="s">
        <v>703</v>
      </c>
      <c r="B400" s="15" t="s">
        <v>63</v>
      </c>
      <c r="C400" s="27" t="s">
        <v>839</v>
      </c>
      <c r="D400" s="27" t="s">
        <v>478</v>
      </c>
      <c r="E400" s="25" t="s">
        <v>140</v>
      </c>
      <c r="F400" s="128" t="s">
        <v>1142</v>
      </c>
      <c r="G400" s="120">
        <v>435049</v>
      </c>
      <c r="H400" s="164">
        <f t="shared" si="5"/>
        <v>0</v>
      </c>
      <c r="I400" s="120">
        <v>435049</v>
      </c>
      <c r="J400" s="120">
        <f>197623+142133</f>
        <v>339756</v>
      </c>
      <c r="K400" s="21"/>
      <c r="L400" s="122"/>
    </row>
    <row r="401" spans="1:12" s="20" customFormat="1" ht="25.5">
      <c r="A401" s="27" t="s">
        <v>703</v>
      </c>
      <c r="B401" s="15" t="s">
        <v>63</v>
      </c>
      <c r="C401" s="27" t="s">
        <v>839</v>
      </c>
      <c r="D401" s="27" t="s">
        <v>478</v>
      </c>
      <c r="E401" s="25" t="s">
        <v>140</v>
      </c>
      <c r="F401" s="128" t="s">
        <v>1041</v>
      </c>
      <c r="G401" s="120">
        <v>141779</v>
      </c>
      <c r="H401" s="164">
        <f t="shared" si="5"/>
        <v>15.761149394480142</v>
      </c>
      <c r="I401" s="120">
        <f>100251+19182</f>
        <v>119433</v>
      </c>
      <c r="J401" s="120">
        <v>100251</v>
      </c>
      <c r="K401" s="21"/>
      <c r="L401" s="122"/>
    </row>
    <row r="402" spans="1:12" s="20" customFormat="1" ht="25.5">
      <c r="A402" s="27" t="s">
        <v>703</v>
      </c>
      <c r="B402" s="15" t="s">
        <v>63</v>
      </c>
      <c r="C402" s="27" t="s">
        <v>839</v>
      </c>
      <c r="D402" s="27" t="s">
        <v>478</v>
      </c>
      <c r="E402" s="25" t="s">
        <v>140</v>
      </c>
      <c r="F402" s="128" t="s">
        <v>1042</v>
      </c>
      <c r="G402" s="120">
        <v>179756</v>
      </c>
      <c r="H402" s="164">
        <f t="shared" si="5"/>
        <v>11.855515254010996</v>
      </c>
      <c r="I402" s="120">
        <v>158445</v>
      </c>
      <c r="J402" s="120">
        <f>265458-107013-24155</f>
        <v>134290</v>
      </c>
      <c r="K402" s="21"/>
      <c r="L402" s="122"/>
    </row>
    <row r="403" spans="1:12" s="20" customFormat="1" ht="25.5">
      <c r="A403" s="27" t="s">
        <v>703</v>
      </c>
      <c r="B403" s="15" t="s">
        <v>63</v>
      </c>
      <c r="C403" s="27" t="s">
        <v>839</v>
      </c>
      <c r="D403" s="27" t="s">
        <v>478</v>
      </c>
      <c r="E403" s="25" t="s">
        <v>140</v>
      </c>
      <c r="F403" s="128" t="s">
        <v>1043</v>
      </c>
      <c r="G403" s="120">
        <v>193928</v>
      </c>
      <c r="H403" s="164">
        <f t="shared" si="5"/>
        <v>10.334763417350771</v>
      </c>
      <c r="I403" s="120">
        <f>173886</f>
        <v>173886</v>
      </c>
      <c r="J403" s="120">
        <f>152400-15565+15565</f>
        <v>152400</v>
      </c>
      <c r="K403" s="21"/>
      <c r="L403" s="122"/>
    </row>
    <row r="404" spans="1:12" s="20" customFormat="1" ht="25.5">
      <c r="A404" s="27" t="s">
        <v>703</v>
      </c>
      <c r="B404" s="15" t="s">
        <v>63</v>
      </c>
      <c r="C404" s="27" t="s">
        <v>839</v>
      </c>
      <c r="D404" s="27" t="s">
        <v>478</v>
      </c>
      <c r="E404" s="25" t="s">
        <v>140</v>
      </c>
      <c r="F404" s="44" t="s">
        <v>1313</v>
      </c>
      <c r="G404" s="120">
        <v>329598</v>
      </c>
      <c r="H404" s="164">
        <f t="shared" si="5"/>
        <v>8.679057518552895</v>
      </c>
      <c r="I404" s="120">
        <v>300992</v>
      </c>
      <c r="J404" s="120">
        <f>288070-57740+57740</f>
        <v>288070</v>
      </c>
      <c r="K404" s="21"/>
      <c r="L404" s="122"/>
    </row>
    <row r="405" spans="1:12" s="20" customFormat="1" ht="25.5">
      <c r="A405" s="27" t="s">
        <v>703</v>
      </c>
      <c r="B405" s="15" t="s">
        <v>63</v>
      </c>
      <c r="C405" s="27" t="s">
        <v>839</v>
      </c>
      <c r="D405" s="27" t="s">
        <v>478</v>
      </c>
      <c r="E405" s="25" t="s">
        <v>140</v>
      </c>
      <c r="F405" s="128" t="s">
        <v>1044</v>
      </c>
      <c r="G405" s="120">
        <v>138314</v>
      </c>
      <c r="H405" s="164">
        <f t="shared" si="5"/>
        <v>7.546596873779947</v>
      </c>
      <c r="I405" s="120">
        <v>127876</v>
      </c>
      <c r="J405" s="120">
        <f>242846-114970</f>
        <v>127876</v>
      </c>
      <c r="K405" s="21"/>
      <c r="L405" s="122"/>
    </row>
    <row r="406" spans="1:12" s="20" customFormat="1" ht="25.5">
      <c r="A406" s="27" t="s">
        <v>703</v>
      </c>
      <c r="B406" s="15" t="s">
        <v>63</v>
      </c>
      <c r="C406" s="27" t="s">
        <v>839</v>
      </c>
      <c r="D406" s="27" t="s">
        <v>478</v>
      </c>
      <c r="E406" s="25" t="s">
        <v>140</v>
      </c>
      <c r="F406" s="128" t="s">
        <v>1143</v>
      </c>
      <c r="G406" s="120">
        <v>197750</v>
      </c>
      <c r="H406" s="164">
        <f t="shared" si="5"/>
        <v>8.152212389380537</v>
      </c>
      <c r="I406" s="120">
        <v>181629</v>
      </c>
      <c r="J406" s="120">
        <f>220235-38606</f>
        <v>181629</v>
      </c>
      <c r="K406" s="21"/>
      <c r="L406" s="122"/>
    </row>
    <row r="407" spans="1:12" s="20" customFormat="1" ht="25.5">
      <c r="A407" s="27" t="s">
        <v>703</v>
      </c>
      <c r="B407" s="15" t="s">
        <v>63</v>
      </c>
      <c r="C407" s="27" t="s">
        <v>839</v>
      </c>
      <c r="D407" s="27" t="s">
        <v>478</v>
      </c>
      <c r="E407" s="25" t="s">
        <v>140</v>
      </c>
      <c r="F407" s="128" t="s">
        <v>1045</v>
      </c>
      <c r="G407" s="120">
        <v>262624</v>
      </c>
      <c r="H407" s="164">
        <f t="shared" si="5"/>
        <v>6.767850615328371</v>
      </c>
      <c r="I407" s="120">
        <v>244850</v>
      </c>
      <c r="J407" s="120">
        <f>378516-133666</f>
        <v>244850</v>
      </c>
      <c r="K407" s="21"/>
      <c r="L407" s="122"/>
    </row>
    <row r="408" spans="1:12" s="20" customFormat="1" ht="25.5">
      <c r="A408" s="27" t="s">
        <v>703</v>
      </c>
      <c r="B408" s="15" t="s">
        <v>63</v>
      </c>
      <c r="C408" s="27" t="s">
        <v>839</v>
      </c>
      <c r="D408" s="27" t="s">
        <v>478</v>
      </c>
      <c r="E408" s="25" t="s">
        <v>140</v>
      </c>
      <c r="F408" s="128" t="s">
        <v>1144</v>
      </c>
      <c r="G408" s="120">
        <v>146134</v>
      </c>
      <c r="H408" s="164">
        <f t="shared" si="5"/>
        <v>10.84620964320419</v>
      </c>
      <c r="I408" s="120">
        <v>130284</v>
      </c>
      <c r="J408" s="120">
        <f>175012-44728</f>
        <v>130284</v>
      </c>
      <c r="K408" s="21"/>
      <c r="L408" s="122"/>
    </row>
    <row r="409" spans="1:12" s="20" customFormat="1" ht="25.5">
      <c r="A409" s="27" t="s">
        <v>703</v>
      </c>
      <c r="B409" s="15" t="s">
        <v>63</v>
      </c>
      <c r="C409" s="27" t="s">
        <v>839</v>
      </c>
      <c r="D409" s="27" t="s">
        <v>478</v>
      </c>
      <c r="E409" s="25" t="s">
        <v>140</v>
      </c>
      <c r="F409" s="128" t="s">
        <v>1046</v>
      </c>
      <c r="G409" s="120">
        <v>152656</v>
      </c>
      <c r="H409" s="164">
        <f t="shared" si="5"/>
        <v>10.382821507179543</v>
      </c>
      <c r="I409" s="120">
        <f>111128+25678</f>
        <v>136806</v>
      </c>
      <c r="J409" s="120">
        <f>111128+10433</f>
        <v>121561</v>
      </c>
      <c r="K409" s="21"/>
      <c r="L409" s="122"/>
    </row>
    <row r="410" spans="1:12" s="20" customFormat="1" ht="25.5">
      <c r="A410" s="27" t="s">
        <v>703</v>
      </c>
      <c r="B410" s="15" t="s">
        <v>63</v>
      </c>
      <c r="C410" s="27" t="s">
        <v>839</v>
      </c>
      <c r="D410" s="27" t="s">
        <v>478</v>
      </c>
      <c r="E410" s="25" t="s">
        <v>140</v>
      </c>
      <c r="F410" s="128" t="s">
        <v>1047</v>
      </c>
      <c r="G410" s="120">
        <v>221369</v>
      </c>
      <c r="H410" s="164">
        <f t="shared" si="5"/>
        <v>8.311010123368675</v>
      </c>
      <c r="I410" s="120">
        <v>202971</v>
      </c>
      <c r="J410" s="120">
        <f>220235-17264</f>
        <v>202971</v>
      </c>
      <c r="K410" s="21"/>
      <c r="L410" s="122"/>
    </row>
    <row r="411" spans="1:12" s="20" customFormat="1" ht="25.5">
      <c r="A411" s="27" t="s">
        <v>703</v>
      </c>
      <c r="B411" s="15" t="s">
        <v>63</v>
      </c>
      <c r="C411" s="27" t="s">
        <v>839</v>
      </c>
      <c r="D411" s="27" t="s">
        <v>478</v>
      </c>
      <c r="E411" s="25" t="s">
        <v>140</v>
      </c>
      <c r="F411" s="128" t="s">
        <v>1048</v>
      </c>
      <c r="G411" s="120">
        <v>244520</v>
      </c>
      <c r="H411" s="164">
        <f t="shared" si="5"/>
        <v>10.69278586618681</v>
      </c>
      <c r="I411" s="120">
        <f>202992+15382</f>
        <v>218374</v>
      </c>
      <c r="J411" s="120">
        <v>202992</v>
      </c>
      <c r="K411" s="21"/>
      <c r="L411" s="122"/>
    </row>
    <row r="412" spans="1:12" s="20" customFormat="1" ht="25.5">
      <c r="A412" s="27" t="s">
        <v>703</v>
      </c>
      <c r="B412" s="15" t="s">
        <v>63</v>
      </c>
      <c r="C412" s="27" t="s">
        <v>839</v>
      </c>
      <c r="D412" s="27" t="s">
        <v>478</v>
      </c>
      <c r="E412" s="25" t="s">
        <v>140</v>
      </c>
      <c r="F412" s="128" t="s">
        <v>1145</v>
      </c>
      <c r="G412" s="120">
        <v>187181</v>
      </c>
      <c r="H412" s="164">
        <f t="shared" si="5"/>
        <v>10.568914580005455</v>
      </c>
      <c r="I412" s="120">
        <v>167398</v>
      </c>
      <c r="J412" s="120">
        <f>220235-52837</f>
        <v>167398</v>
      </c>
      <c r="K412" s="21"/>
      <c r="L412" s="122"/>
    </row>
    <row r="413" spans="1:12" s="20" customFormat="1" ht="25.5">
      <c r="A413" s="27" t="s">
        <v>703</v>
      </c>
      <c r="B413" s="15" t="s">
        <v>63</v>
      </c>
      <c r="C413" s="27" t="s">
        <v>839</v>
      </c>
      <c r="D413" s="27" t="s">
        <v>478</v>
      </c>
      <c r="E413" s="25" t="s">
        <v>140</v>
      </c>
      <c r="F413" s="128" t="s">
        <v>1146</v>
      </c>
      <c r="G413" s="120">
        <v>87121</v>
      </c>
      <c r="H413" s="164">
        <f t="shared" si="5"/>
        <v>18.193087774474577</v>
      </c>
      <c r="I413" s="120">
        <v>71271</v>
      </c>
      <c r="J413" s="120">
        <f>84565-13294</f>
        <v>71271</v>
      </c>
      <c r="K413" s="21"/>
      <c r="L413" s="122"/>
    </row>
    <row r="414" spans="1:12" s="20" customFormat="1" ht="25.5">
      <c r="A414" s="27" t="s">
        <v>703</v>
      </c>
      <c r="B414" s="15" t="s">
        <v>63</v>
      </c>
      <c r="C414" s="27" t="s">
        <v>839</v>
      </c>
      <c r="D414" s="27" t="s">
        <v>478</v>
      </c>
      <c r="E414" s="25" t="s">
        <v>140</v>
      </c>
      <c r="F414" s="128" t="s">
        <v>1049</v>
      </c>
      <c r="G414" s="120">
        <v>209153</v>
      </c>
      <c r="H414" s="164">
        <f t="shared" si="5"/>
        <v>7.964982572566498</v>
      </c>
      <c r="I414" s="120">
        <v>192494</v>
      </c>
      <c r="J414" s="120">
        <f>129789+3962</f>
        <v>133751</v>
      </c>
      <c r="K414" s="21"/>
      <c r="L414" s="122"/>
    </row>
    <row r="415" spans="1:12" s="20" customFormat="1" ht="25.5">
      <c r="A415" s="27" t="s">
        <v>703</v>
      </c>
      <c r="B415" s="15" t="s">
        <v>63</v>
      </c>
      <c r="C415" s="27" t="s">
        <v>839</v>
      </c>
      <c r="D415" s="27" t="s">
        <v>478</v>
      </c>
      <c r="E415" s="25" t="s">
        <v>140</v>
      </c>
      <c r="F415" s="128" t="s">
        <v>1147</v>
      </c>
      <c r="G415" s="120">
        <v>189256</v>
      </c>
      <c r="H415" s="164">
        <f t="shared" si="5"/>
        <v>8.493257809527833</v>
      </c>
      <c r="I415" s="120">
        <v>173182</v>
      </c>
      <c r="J415" s="120">
        <f>220235-47053</f>
        <v>173182</v>
      </c>
      <c r="K415" s="21"/>
      <c r="L415" s="122"/>
    </row>
    <row r="416" spans="1:12" s="20" customFormat="1" ht="25.5">
      <c r="A416" s="27" t="s">
        <v>703</v>
      </c>
      <c r="B416" s="15" t="s">
        <v>63</v>
      </c>
      <c r="C416" s="27" t="s">
        <v>839</v>
      </c>
      <c r="D416" s="27" t="s">
        <v>478</v>
      </c>
      <c r="E416" s="25" t="s">
        <v>140</v>
      </c>
      <c r="F416" s="128" t="s">
        <v>1050</v>
      </c>
      <c r="G416" s="120">
        <v>329598</v>
      </c>
      <c r="H416" s="164">
        <f t="shared" si="5"/>
        <v>6.094090376761997</v>
      </c>
      <c r="I416" s="120">
        <f>288070+21442</f>
        <v>309512</v>
      </c>
      <c r="J416" s="120">
        <v>288070</v>
      </c>
      <c r="K416" s="21"/>
      <c r="L416" s="122"/>
    </row>
    <row r="417" spans="1:12" s="20" customFormat="1" ht="25.5">
      <c r="A417" s="27" t="s">
        <v>703</v>
      </c>
      <c r="B417" s="15" t="s">
        <v>63</v>
      </c>
      <c r="C417" s="27" t="s">
        <v>839</v>
      </c>
      <c r="D417" s="27" t="s">
        <v>478</v>
      </c>
      <c r="E417" s="25" t="s">
        <v>140</v>
      </c>
      <c r="F417" s="128" t="s">
        <v>1148</v>
      </c>
      <c r="G417" s="120">
        <v>261763</v>
      </c>
      <c r="H417" s="164">
        <f t="shared" si="5"/>
        <v>0</v>
      </c>
      <c r="I417" s="120">
        <f>234754+27009</f>
        <v>261763</v>
      </c>
      <c r="J417" s="120">
        <v>234754</v>
      </c>
      <c r="K417" s="21"/>
      <c r="L417" s="122"/>
    </row>
    <row r="418" spans="1:12" s="20" customFormat="1" ht="25.5">
      <c r="A418" s="27" t="s">
        <v>703</v>
      </c>
      <c r="B418" s="15" t="s">
        <v>63</v>
      </c>
      <c r="C418" s="27" t="s">
        <v>839</v>
      </c>
      <c r="D418" s="27" t="s">
        <v>478</v>
      </c>
      <c r="E418" s="25" t="s">
        <v>140</v>
      </c>
      <c r="F418" s="128" t="s">
        <v>1211</v>
      </c>
      <c r="G418" s="120">
        <v>329598</v>
      </c>
      <c r="H418" s="164">
        <f t="shared" si="5"/>
        <v>0</v>
      </c>
      <c r="I418" s="120">
        <f>306182+23416</f>
        <v>329598</v>
      </c>
      <c r="J418" s="120">
        <v>306182</v>
      </c>
      <c r="K418" s="21"/>
      <c r="L418" s="122"/>
    </row>
    <row r="419" spans="1:12" s="20" customFormat="1" ht="25.5">
      <c r="A419" s="27" t="s">
        <v>703</v>
      </c>
      <c r="B419" s="15" t="s">
        <v>63</v>
      </c>
      <c r="C419" s="27" t="s">
        <v>839</v>
      </c>
      <c r="D419" s="27" t="s">
        <v>478</v>
      </c>
      <c r="E419" s="25" t="s">
        <v>140</v>
      </c>
      <c r="F419" s="128" t="s">
        <v>1051</v>
      </c>
      <c r="G419" s="120">
        <v>148705</v>
      </c>
      <c r="H419" s="164">
        <f t="shared" si="5"/>
        <v>0</v>
      </c>
      <c r="I419" s="120">
        <f>121696+27009</f>
        <v>148705</v>
      </c>
      <c r="J419" s="120">
        <v>121696</v>
      </c>
      <c r="K419" s="21"/>
      <c r="L419" s="122"/>
    </row>
    <row r="420" spans="1:12" s="20" customFormat="1" ht="38.25">
      <c r="A420" s="27" t="s">
        <v>703</v>
      </c>
      <c r="B420" s="15" t="s">
        <v>63</v>
      </c>
      <c r="C420" s="27" t="s">
        <v>839</v>
      </c>
      <c r="D420" s="27" t="s">
        <v>478</v>
      </c>
      <c r="E420" s="25" t="s">
        <v>140</v>
      </c>
      <c r="F420" s="128" t="s">
        <v>1052</v>
      </c>
      <c r="G420" s="188">
        <v>216540</v>
      </c>
      <c r="H420" s="164">
        <f t="shared" si="5"/>
        <v>12.616606631569226</v>
      </c>
      <c r="I420" s="120">
        <f>189220</f>
        <v>189220</v>
      </c>
      <c r="J420" s="120">
        <f>178068-64687+64687</f>
        <v>178068</v>
      </c>
      <c r="K420" s="21"/>
      <c r="L420" s="122"/>
    </row>
    <row r="421" spans="1:12" s="20" customFormat="1" ht="51">
      <c r="A421" s="27" t="s">
        <v>703</v>
      </c>
      <c r="B421" s="15" t="s">
        <v>63</v>
      </c>
      <c r="C421" s="27" t="s">
        <v>839</v>
      </c>
      <c r="D421" s="27" t="s">
        <v>478</v>
      </c>
      <c r="E421" s="25" t="s">
        <v>140</v>
      </c>
      <c r="F421" s="128" t="s">
        <v>1149</v>
      </c>
      <c r="G421" s="120">
        <v>510490</v>
      </c>
      <c r="H421" s="164">
        <f t="shared" si="5"/>
        <v>5.337420909322418</v>
      </c>
      <c r="I421" s="120">
        <f>469418+13825</f>
        <v>483243</v>
      </c>
      <c r="J421" s="120">
        <v>469418</v>
      </c>
      <c r="K421" s="21"/>
      <c r="L421" s="122"/>
    </row>
    <row r="422" spans="1:12" s="20" customFormat="1" ht="38.25">
      <c r="A422" s="27" t="s">
        <v>703</v>
      </c>
      <c r="B422" s="15" t="s">
        <v>63</v>
      </c>
      <c r="C422" s="27" t="s">
        <v>839</v>
      </c>
      <c r="D422" s="27" t="s">
        <v>478</v>
      </c>
      <c r="E422" s="25" t="s">
        <v>140</v>
      </c>
      <c r="F422" s="128" t="s">
        <v>1150</v>
      </c>
      <c r="G422" s="120">
        <v>159924</v>
      </c>
      <c r="H422" s="164">
        <f t="shared" si="5"/>
        <v>16.516595382806827</v>
      </c>
      <c r="I422" s="120">
        <v>133510</v>
      </c>
      <c r="J422" s="120">
        <f>156953-23443+23443-35299</f>
        <v>121654</v>
      </c>
      <c r="K422" s="21"/>
      <c r="L422" s="122"/>
    </row>
    <row r="423" spans="1:12" s="20" customFormat="1" ht="38.25">
      <c r="A423" s="27" t="s">
        <v>703</v>
      </c>
      <c r="B423" s="15" t="s">
        <v>63</v>
      </c>
      <c r="C423" s="27" t="s">
        <v>839</v>
      </c>
      <c r="D423" s="27" t="s">
        <v>478</v>
      </c>
      <c r="E423" s="25" t="s">
        <v>140</v>
      </c>
      <c r="F423" s="128" t="s">
        <v>1151</v>
      </c>
      <c r="G423" s="120">
        <v>307397</v>
      </c>
      <c r="H423" s="164">
        <f t="shared" si="5"/>
        <v>4.802584280262977</v>
      </c>
      <c r="I423" s="120">
        <v>292634</v>
      </c>
      <c r="J423" s="120">
        <f>354585-157156</f>
        <v>197429</v>
      </c>
      <c r="K423" s="21"/>
      <c r="L423" s="122"/>
    </row>
    <row r="424" spans="1:12" s="20" customFormat="1" ht="51">
      <c r="A424" s="27" t="s">
        <v>703</v>
      </c>
      <c r="B424" s="15" t="s">
        <v>63</v>
      </c>
      <c r="C424" s="27" t="s">
        <v>839</v>
      </c>
      <c r="D424" s="27" t="s">
        <v>478</v>
      </c>
      <c r="E424" s="25" t="s">
        <v>140</v>
      </c>
      <c r="F424" s="44" t="s">
        <v>1325</v>
      </c>
      <c r="G424" s="120">
        <v>713994</v>
      </c>
      <c r="H424" s="164">
        <f t="shared" si="5"/>
        <v>5.37357456785351</v>
      </c>
      <c r="I424" s="120">
        <f>662692+12935</f>
        <v>675627</v>
      </c>
      <c r="J424" s="120">
        <v>662692</v>
      </c>
      <c r="K424" s="21"/>
      <c r="L424" s="122"/>
    </row>
    <row r="425" spans="1:12" s="20" customFormat="1" ht="51">
      <c r="A425" s="27" t="s">
        <v>703</v>
      </c>
      <c r="B425" s="15" t="s">
        <v>63</v>
      </c>
      <c r="C425" s="27" t="s">
        <v>839</v>
      </c>
      <c r="D425" s="27" t="s">
        <v>478</v>
      </c>
      <c r="E425" s="25" t="s">
        <v>140</v>
      </c>
      <c r="F425" s="128" t="s">
        <v>1053</v>
      </c>
      <c r="G425" s="120">
        <v>1098391</v>
      </c>
      <c r="H425" s="164">
        <f t="shared" si="5"/>
        <v>3.5775966846050267</v>
      </c>
      <c r="I425" s="120">
        <f>1046160+12935</f>
        <v>1059095</v>
      </c>
      <c r="J425" s="120">
        <v>1046160</v>
      </c>
      <c r="K425" s="21"/>
      <c r="L425" s="122"/>
    </row>
    <row r="426" spans="1:12" s="20" customFormat="1" ht="51">
      <c r="A426" s="27" t="s">
        <v>703</v>
      </c>
      <c r="B426" s="15" t="s">
        <v>63</v>
      </c>
      <c r="C426" s="27" t="s">
        <v>839</v>
      </c>
      <c r="D426" s="27" t="s">
        <v>478</v>
      </c>
      <c r="E426" s="25" t="s">
        <v>140</v>
      </c>
      <c r="F426" s="128" t="s">
        <v>1054</v>
      </c>
      <c r="G426" s="120">
        <v>713994</v>
      </c>
      <c r="H426" s="164">
        <f t="shared" si="5"/>
        <v>6.086745826995738</v>
      </c>
      <c r="I426" s="120">
        <f>656710+13825</f>
        <v>670535</v>
      </c>
      <c r="J426" s="120">
        <v>656710</v>
      </c>
      <c r="K426" s="21"/>
      <c r="L426" s="122"/>
    </row>
    <row r="427" spans="1:12" s="20" customFormat="1" ht="51">
      <c r="A427" s="27" t="s">
        <v>703</v>
      </c>
      <c r="B427" s="15" t="s">
        <v>63</v>
      </c>
      <c r="C427" s="27" t="s">
        <v>839</v>
      </c>
      <c r="D427" s="27" t="s">
        <v>478</v>
      </c>
      <c r="E427" s="25" t="s">
        <v>140</v>
      </c>
      <c r="F427" s="128" t="s">
        <v>1055</v>
      </c>
      <c r="G427" s="120">
        <v>510490</v>
      </c>
      <c r="H427" s="164">
        <f t="shared" si="5"/>
        <v>8.405649474034746</v>
      </c>
      <c r="I427" s="120">
        <f>453755+13825</f>
        <v>467580</v>
      </c>
      <c r="J427" s="120">
        <v>453755</v>
      </c>
      <c r="K427" s="21"/>
      <c r="L427" s="122"/>
    </row>
    <row r="428" spans="1:12" s="20" customFormat="1" ht="25.5">
      <c r="A428" s="27" t="s">
        <v>703</v>
      </c>
      <c r="B428" s="15" t="s">
        <v>63</v>
      </c>
      <c r="C428" s="27" t="s">
        <v>839</v>
      </c>
      <c r="D428" s="27" t="s">
        <v>478</v>
      </c>
      <c r="E428" s="25" t="s">
        <v>140</v>
      </c>
      <c r="F428" s="128" t="s">
        <v>1152</v>
      </c>
      <c r="G428" s="120">
        <v>185846</v>
      </c>
      <c r="H428" s="164">
        <f t="shared" si="5"/>
        <v>16.126255071403207</v>
      </c>
      <c r="I428" s="120">
        <v>155876</v>
      </c>
      <c r="J428" s="120">
        <f>220235-64359</f>
        <v>155876</v>
      </c>
      <c r="K428" s="21"/>
      <c r="L428" s="122"/>
    </row>
    <row r="429" spans="1:12" s="20" customFormat="1" ht="37.5" customHeight="1">
      <c r="A429" s="27" t="s">
        <v>703</v>
      </c>
      <c r="B429" s="15" t="s">
        <v>63</v>
      </c>
      <c r="C429" s="27" t="s">
        <v>839</v>
      </c>
      <c r="D429" s="27" t="s">
        <v>478</v>
      </c>
      <c r="E429" s="25" t="s">
        <v>140</v>
      </c>
      <c r="F429" s="128" t="s">
        <v>1153</v>
      </c>
      <c r="G429" s="120">
        <v>245771</v>
      </c>
      <c r="H429" s="164">
        <f t="shared" si="5"/>
        <v>7.01750816817281</v>
      </c>
      <c r="I429" s="120">
        <v>228524</v>
      </c>
      <c r="J429" s="120">
        <f>161171+31891</f>
        <v>193062</v>
      </c>
      <c r="K429" s="21"/>
      <c r="L429" s="122"/>
    </row>
    <row r="430" spans="1:12" s="20" customFormat="1" ht="51">
      <c r="A430" s="27" t="s">
        <v>703</v>
      </c>
      <c r="B430" s="15" t="s">
        <v>63</v>
      </c>
      <c r="C430" s="27" t="s">
        <v>839</v>
      </c>
      <c r="D430" s="27" t="s">
        <v>478</v>
      </c>
      <c r="E430" s="25" t="s">
        <v>140</v>
      </c>
      <c r="F430" s="128" t="s">
        <v>1056</v>
      </c>
      <c r="G430" s="120">
        <v>487879</v>
      </c>
      <c r="H430" s="164">
        <f t="shared" si="5"/>
        <v>5.6661590271358335</v>
      </c>
      <c r="I430" s="120">
        <f>460235</f>
        <v>460235</v>
      </c>
      <c r="J430" s="120">
        <f>437759-57321+57321</f>
        <v>437759</v>
      </c>
      <c r="K430" s="21"/>
      <c r="L430" s="122"/>
    </row>
    <row r="431" spans="1:12" s="20" customFormat="1" ht="25.5">
      <c r="A431" s="27" t="s">
        <v>703</v>
      </c>
      <c r="B431" s="15" t="s">
        <v>63</v>
      </c>
      <c r="C431" s="27" t="s">
        <v>839</v>
      </c>
      <c r="D431" s="27" t="s">
        <v>478</v>
      </c>
      <c r="E431" s="25" t="s">
        <v>140</v>
      </c>
      <c r="F431" s="128" t="s">
        <v>1154</v>
      </c>
      <c r="G431" s="120">
        <v>261763</v>
      </c>
      <c r="H431" s="164">
        <f t="shared" si="5"/>
        <v>9.18731829937768</v>
      </c>
      <c r="I431" s="120">
        <f>237714</f>
        <v>237714</v>
      </c>
      <c r="J431" s="120">
        <f>226757-115747+115747</f>
        <v>226757</v>
      </c>
      <c r="K431" s="21"/>
      <c r="L431" s="122"/>
    </row>
    <row r="432" spans="1:12" s="20" customFormat="1" ht="25.5">
      <c r="A432" s="27" t="s">
        <v>703</v>
      </c>
      <c r="B432" s="15" t="s">
        <v>63</v>
      </c>
      <c r="C432" s="27" t="s">
        <v>839</v>
      </c>
      <c r="D432" s="27" t="s">
        <v>478</v>
      </c>
      <c r="E432" s="25" t="s">
        <v>140</v>
      </c>
      <c r="F432" s="128" t="s">
        <v>1057</v>
      </c>
      <c r="G432" s="120">
        <v>261763</v>
      </c>
      <c r="H432" s="164">
        <f t="shared" si="5"/>
        <v>9.064688286732661</v>
      </c>
      <c r="I432" s="120">
        <v>238035</v>
      </c>
      <c r="J432" s="120">
        <f>226751-43593+43593</f>
        <v>226751</v>
      </c>
      <c r="K432" s="21"/>
      <c r="L432" s="122"/>
    </row>
    <row r="433" spans="1:12" s="20" customFormat="1" ht="25.5">
      <c r="A433" s="27" t="s">
        <v>703</v>
      </c>
      <c r="B433" s="15" t="s">
        <v>63</v>
      </c>
      <c r="C433" s="27" t="s">
        <v>839</v>
      </c>
      <c r="D433" s="27" t="s">
        <v>478</v>
      </c>
      <c r="E433" s="25" t="s">
        <v>140</v>
      </c>
      <c r="F433" s="128" t="s">
        <v>1155</v>
      </c>
      <c r="G433" s="120">
        <v>352209</v>
      </c>
      <c r="H433" s="164">
        <f t="shared" si="5"/>
        <v>7.0483718473974335</v>
      </c>
      <c r="I433" s="120">
        <v>327384</v>
      </c>
      <c r="J433" s="120">
        <f>315999-40829+40829</f>
        <v>315999</v>
      </c>
      <c r="K433" s="21"/>
      <c r="L433" s="122"/>
    </row>
    <row r="434" spans="1:12" s="20" customFormat="1" ht="38.25">
      <c r="A434" s="27" t="s">
        <v>703</v>
      </c>
      <c r="B434" s="15" t="s">
        <v>63</v>
      </c>
      <c r="C434" s="27" t="s">
        <v>839</v>
      </c>
      <c r="D434" s="27" t="s">
        <v>478</v>
      </c>
      <c r="E434" s="25" t="s">
        <v>140</v>
      </c>
      <c r="F434" s="128" t="s">
        <v>1156</v>
      </c>
      <c r="G434" s="120">
        <v>397432</v>
      </c>
      <c r="H434" s="164">
        <f t="shared" si="5"/>
        <v>3.148463133315886</v>
      </c>
      <c r="I434" s="120">
        <v>384919</v>
      </c>
      <c r="J434" s="120">
        <f>371699-137787+137787</f>
        <v>371699</v>
      </c>
      <c r="K434" s="21"/>
      <c r="L434" s="122"/>
    </row>
    <row r="435" spans="1:12" s="20" customFormat="1" ht="37.5" customHeight="1">
      <c r="A435" s="27" t="s">
        <v>703</v>
      </c>
      <c r="B435" s="15" t="s">
        <v>63</v>
      </c>
      <c r="C435" s="27" t="s">
        <v>839</v>
      </c>
      <c r="D435" s="27" t="s">
        <v>478</v>
      </c>
      <c r="E435" s="25" t="s">
        <v>140</v>
      </c>
      <c r="F435" s="128" t="s">
        <v>1058</v>
      </c>
      <c r="G435" s="120">
        <v>872275</v>
      </c>
      <c r="H435" s="164">
        <f t="shared" si="5"/>
        <v>2.772864062365656</v>
      </c>
      <c r="I435" s="120">
        <f>839665+8423</f>
        <v>848088</v>
      </c>
      <c r="J435" s="120">
        <v>839665</v>
      </c>
      <c r="K435" s="21"/>
      <c r="L435" s="122"/>
    </row>
    <row r="436" spans="1:12" s="20" customFormat="1" ht="38.25">
      <c r="A436" s="27" t="s">
        <v>703</v>
      </c>
      <c r="B436" s="15" t="s">
        <v>63</v>
      </c>
      <c r="C436" s="27" t="s">
        <v>839</v>
      </c>
      <c r="D436" s="27" t="s">
        <v>478</v>
      </c>
      <c r="E436" s="25" t="s">
        <v>140</v>
      </c>
      <c r="F436" s="128" t="s">
        <v>1157</v>
      </c>
      <c r="G436" s="120">
        <v>193928</v>
      </c>
      <c r="H436" s="164">
        <f t="shared" si="5"/>
        <v>5.98314838496762</v>
      </c>
      <c r="I436" s="120">
        <f>182325</f>
        <v>182325</v>
      </c>
      <c r="J436" s="120">
        <f>168584-81379+81379</f>
        <v>168584</v>
      </c>
      <c r="K436" s="21"/>
      <c r="L436" s="122"/>
    </row>
    <row r="437" spans="1:12" s="20" customFormat="1" ht="25.5">
      <c r="A437" s="27" t="s">
        <v>703</v>
      </c>
      <c r="B437" s="15" t="s">
        <v>63</v>
      </c>
      <c r="C437" s="27" t="s">
        <v>839</v>
      </c>
      <c r="D437" s="27" t="s">
        <v>478</v>
      </c>
      <c r="E437" s="25" t="s">
        <v>140</v>
      </c>
      <c r="F437" s="128" t="s">
        <v>1212</v>
      </c>
      <c r="G437" s="120">
        <v>397432</v>
      </c>
      <c r="H437" s="164">
        <f t="shared" si="5"/>
        <v>3.0573783691298217</v>
      </c>
      <c r="I437" s="120">
        <v>385281</v>
      </c>
      <c r="J437" s="120">
        <f>372088-217410+217410</f>
        <v>372088</v>
      </c>
      <c r="K437" s="21"/>
      <c r="L437" s="122"/>
    </row>
    <row r="438" spans="1:12" s="20" customFormat="1" ht="25.5">
      <c r="A438" s="27" t="s">
        <v>703</v>
      </c>
      <c r="B438" s="15" t="s">
        <v>63</v>
      </c>
      <c r="C438" s="27" t="s">
        <v>839</v>
      </c>
      <c r="D438" s="27" t="s">
        <v>478</v>
      </c>
      <c r="E438" s="25" t="s">
        <v>140</v>
      </c>
      <c r="F438" s="128" t="s">
        <v>1158</v>
      </c>
      <c r="G438" s="120">
        <v>623100</v>
      </c>
      <c r="H438" s="164">
        <f t="shared" si="5"/>
        <v>5.869202375220667</v>
      </c>
      <c r="I438" s="120">
        <v>586529</v>
      </c>
      <c r="J438" s="120">
        <f>418290-21369</f>
        <v>396921</v>
      </c>
      <c r="K438" s="21"/>
      <c r="L438" s="122"/>
    </row>
    <row r="439" spans="1:12" s="20" customFormat="1" ht="25.5">
      <c r="A439" s="27" t="s">
        <v>703</v>
      </c>
      <c r="B439" s="15" t="s">
        <v>63</v>
      </c>
      <c r="C439" s="27" t="s">
        <v>839</v>
      </c>
      <c r="D439" s="27" t="s">
        <v>478</v>
      </c>
      <c r="E439" s="25" t="s">
        <v>140</v>
      </c>
      <c r="F439" s="128" t="s">
        <v>1159</v>
      </c>
      <c r="G439" s="120">
        <v>678898</v>
      </c>
      <c r="H439" s="164">
        <f t="shared" si="5"/>
        <v>5.891606692021483</v>
      </c>
      <c r="I439" s="120">
        <v>638900</v>
      </c>
      <c r="J439" s="120">
        <f>370517+68770</f>
        <v>439287</v>
      </c>
      <c r="K439" s="21"/>
      <c r="L439" s="122"/>
    </row>
    <row r="440" spans="1:12" s="20" customFormat="1" ht="25.5">
      <c r="A440" s="27" t="s">
        <v>703</v>
      </c>
      <c r="B440" s="15" t="s">
        <v>63</v>
      </c>
      <c r="C440" s="27" t="s">
        <v>839</v>
      </c>
      <c r="D440" s="27" t="s">
        <v>478</v>
      </c>
      <c r="E440" s="25" t="s">
        <v>140</v>
      </c>
      <c r="F440" s="128" t="s">
        <v>1160</v>
      </c>
      <c r="G440" s="120">
        <v>489125</v>
      </c>
      <c r="H440" s="164">
        <f t="shared" si="5"/>
        <v>7.943368259647329</v>
      </c>
      <c r="I440" s="120">
        <f>450271+1</f>
        <v>450272</v>
      </c>
      <c r="J440" s="120">
        <f>450271-114489</f>
        <v>335782</v>
      </c>
      <c r="K440" s="21"/>
      <c r="L440" s="122"/>
    </row>
    <row r="441" spans="1:12" s="20" customFormat="1" ht="25.5">
      <c r="A441" s="27" t="s">
        <v>703</v>
      </c>
      <c r="B441" s="15" t="s">
        <v>63</v>
      </c>
      <c r="C441" s="27" t="s">
        <v>839</v>
      </c>
      <c r="D441" s="27" t="s">
        <v>478</v>
      </c>
      <c r="E441" s="25" t="s">
        <v>140</v>
      </c>
      <c r="F441" s="128" t="s">
        <v>1161</v>
      </c>
      <c r="G441" s="120">
        <v>925318</v>
      </c>
      <c r="H441" s="164">
        <f t="shared" si="5"/>
        <v>0</v>
      </c>
      <c r="I441" s="120">
        <v>925318</v>
      </c>
      <c r="J441" s="120">
        <f>382390+318853</f>
        <v>701243</v>
      </c>
      <c r="K441" s="21"/>
      <c r="L441" s="122"/>
    </row>
    <row r="442" spans="1:12" s="20" customFormat="1" ht="38.25">
      <c r="A442" s="27" t="s">
        <v>703</v>
      </c>
      <c r="B442" s="15" t="s">
        <v>63</v>
      </c>
      <c r="C442" s="27" t="s">
        <v>839</v>
      </c>
      <c r="D442" s="27" t="s">
        <v>478</v>
      </c>
      <c r="E442" s="25" t="s">
        <v>140</v>
      </c>
      <c r="F442" s="128" t="s">
        <v>1165</v>
      </c>
      <c r="G442" s="120">
        <v>64959</v>
      </c>
      <c r="H442" s="164">
        <f aca="true" t="shared" si="6" ref="H442:H467">100-(I442/G442*100)</f>
        <v>0</v>
      </c>
      <c r="I442" s="120">
        <v>64959</v>
      </c>
      <c r="J442" s="120">
        <v>64959</v>
      </c>
      <c r="K442" s="21"/>
      <c r="L442" s="122"/>
    </row>
    <row r="443" spans="1:12" s="20" customFormat="1" ht="25.5">
      <c r="A443" s="27" t="s">
        <v>703</v>
      </c>
      <c r="B443" s="15" t="s">
        <v>63</v>
      </c>
      <c r="C443" s="27" t="s">
        <v>839</v>
      </c>
      <c r="D443" s="27" t="s">
        <v>478</v>
      </c>
      <c r="E443" s="25" t="s">
        <v>140</v>
      </c>
      <c r="F443" s="128" t="s">
        <v>1166</v>
      </c>
      <c r="G443" s="120">
        <v>46912</v>
      </c>
      <c r="H443" s="164">
        <f t="shared" si="6"/>
        <v>0</v>
      </c>
      <c r="I443" s="120">
        <v>46912</v>
      </c>
      <c r="J443" s="120">
        <v>46912</v>
      </c>
      <c r="K443" s="21"/>
      <c r="L443" s="122"/>
    </row>
    <row r="444" spans="1:12" s="20" customFormat="1" ht="38.25">
      <c r="A444" s="27" t="s">
        <v>703</v>
      </c>
      <c r="B444" s="15" t="s">
        <v>63</v>
      </c>
      <c r="C444" s="27" t="s">
        <v>839</v>
      </c>
      <c r="D444" s="27" t="s">
        <v>478</v>
      </c>
      <c r="E444" s="25" t="s">
        <v>140</v>
      </c>
      <c r="F444" s="128" t="s">
        <v>1167</v>
      </c>
      <c r="G444" s="120">
        <v>69722</v>
      </c>
      <c r="H444" s="164">
        <f t="shared" si="6"/>
        <v>0</v>
      </c>
      <c r="I444" s="120">
        <v>69722</v>
      </c>
      <c r="J444" s="120">
        <v>69722</v>
      </c>
      <c r="K444" s="21"/>
      <c r="L444" s="122"/>
    </row>
    <row r="445" spans="1:12" s="20" customFormat="1" ht="38.25">
      <c r="A445" s="27" t="s">
        <v>703</v>
      </c>
      <c r="B445" s="15" t="s">
        <v>63</v>
      </c>
      <c r="C445" s="27" t="s">
        <v>839</v>
      </c>
      <c r="D445" s="27" t="s">
        <v>478</v>
      </c>
      <c r="E445" s="25" t="s">
        <v>140</v>
      </c>
      <c r="F445" s="128" t="s">
        <v>1168</v>
      </c>
      <c r="G445" s="120">
        <v>69722</v>
      </c>
      <c r="H445" s="164">
        <f t="shared" si="6"/>
        <v>0</v>
      </c>
      <c r="I445" s="120">
        <v>69722</v>
      </c>
      <c r="J445" s="120">
        <v>69722</v>
      </c>
      <c r="K445" s="21"/>
      <c r="L445" s="122"/>
    </row>
    <row r="446" spans="1:12" s="20" customFormat="1" ht="38.25">
      <c r="A446" s="27" t="s">
        <v>703</v>
      </c>
      <c r="B446" s="15" t="s">
        <v>63</v>
      </c>
      <c r="C446" s="27" t="s">
        <v>839</v>
      </c>
      <c r="D446" s="27" t="s">
        <v>478</v>
      </c>
      <c r="E446" s="25" t="s">
        <v>140</v>
      </c>
      <c r="F446" s="128" t="s">
        <v>1169</v>
      </c>
      <c r="G446" s="120">
        <v>64569</v>
      </c>
      <c r="H446" s="164">
        <f t="shared" si="6"/>
        <v>0</v>
      </c>
      <c r="I446" s="120">
        <v>64569</v>
      </c>
      <c r="J446" s="120">
        <v>64569</v>
      </c>
      <c r="K446" s="21"/>
      <c r="L446" s="122"/>
    </row>
    <row r="447" spans="1:12" s="20" customFormat="1" ht="38.25">
      <c r="A447" s="27" t="s">
        <v>703</v>
      </c>
      <c r="B447" s="15" t="s">
        <v>63</v>
      </c>
      <c r="C447" s="27" t="s">
        <v>839</v>
      </c>
      <c r="D447" s="27" t="s">
        <v>478</v>
      </c>
      <c r="E447" s="25" t="s">
        <v>140</v>
      </c>
      <c r="F447" s="128" t="s">
        <v>1170</v>
      </c>
      <c r="G447" s="120">
        <v>64496</v>
      </c>
      <c r="H447" s="164">
        <f t="shared" si="6"/>
        <v>0</v>
      </c>
      <c r="I447" s="120">
        <v>64496</v>
      </c>
      <c r="J447" s="120">
        <v>64496</v>
      </c>
      <c r="K447" s="21"/>
      <c r="L447" s="122"/>
    </row>
    <row r="448" spans="1:12" s="20" customFormat="1" ht="25.5">
      <c r="A448" s="27" t="s">
        <v>703</v>
      </c>
      <c r="B448" s="15" t="s">
        <v>63</v>
      </c>
      <c r="C448" s="27" t="s">
        <v>839</v>
      </c>
      <c r="D448" s="27" t="s">
        <v>478</v>
      </c>
      <c r="E448" s="25" t="s">
        <v>140</v>
      </c>
      <c r="F448" s="128" t="s">
        <v>1171</v>
      </c>
      <c r="G448" s="120">
        <v>65653</v>
      </c>
      <c r="H448" s="164">
        <f t="shared" si="6"/>
        <v>0</v>
      </c>
      <c r="I448" s="120">
        <v>65653</v>
      </c>
      <c r="J448" s="120">
        <v>65653</v>
      </c>
      <c r="K448" s="21"/>
      <c r="L448" s="122"/>
    </row>
    <row r="449" spans="1:12" s="20" customFormat="1" ht="25.5">
      <c r="A449" s="27" t="s">
        <v>703</v>
      </c>
      <c r="B449" s="15" t="s">
        <v>63</v>
      </c>
      <c r="C449" s="27" t="s">
        <v>839</v>
      </c>
      <c r="D449" s="27" t="s">
        <v>478</v>
      </c>
      <c r="E449" s="25" t="s">
        <v>140</v>
      </c>
      <c r="F449" s="128" t="s">
        <v>1172</v>
      </c>
      <c r="G449" s="120">
        <v>65714</v>
      </c>
      <c r="H449" s="164">
        <f t="shared" si="6"/>
        <v>0</v>
      </c>
      <c r="I449" s="120">
        <v>65714</v>
      </c>
      <c r="J449" s="120">
        <v>65714</v>
      </c>
      <c r="K449" s="21"/>
      <c r="L449" s="122"/>
    </row>
    <row r="450" spans="1:12" s="20" customFormat="1" ht="25.5">
      <c r="A450" s="27" t="s">
        <v>703</v>
      </c>
      <c r="B450" s="15" t="s">
        <v>63</v>
      </c>
      <c r="C450" s="27" t="s">
        <v>839</v>
      </c>
      <c r="D450" s="27" t="s">
        <v>478</v>
      </c>
      <c r="E450" s="25" t="s">
        <v>140</v>
      </c>
      <c r="F450" s="128" t="s">
        <v>1173</v>
      </c>
      <c r="G450" s="120">
        <v>65413</v>
      </c>
      <c r="H450" s="164">
        <f t="shared" si="6"/>
        <v>0</v>
      </c>
      <c r="I450" s="120">
        <v>65413</v>
      </c>
      <c r="J450" s="120">
        <v>65413</v>
      </c>
      <c r="K450" s="21"/>
      <c r="L450" s="122"/>
    </row>
    <row r="451" spans="1:12" s="20" customFormat="1" ht="25.5">
      <c r="A451" s="27" t="s">
        <v>703</v>
      </c>
      <c r="B451" s="15" t="s">
        <v>63</v>
      </c>
      <c r="C451" s="27" t="s">
        <v>839</v>
      </c>
      <c r="D451" s="27" t="s">
        <v>478</v>
      </c>
      <c r="E451" s="25" t="s">
        <v>140</v>
      </c>
      <c r="F451" s="128" t="s">
        <v>1174</v>
      </c>
      <c r="G451" s="120">
        <v>65443</v>
      </c>
      <c r="H451" s="164">
        <f t="shared" si="6"/>
        <v>0</v>
      </c>
      <c r="I451" s="120">
        <v>65443</v>
      </c>
      <c r="J451" s="120">
        <v>65443</v>
      </c>
      <c r="K451" s="21"/>
      <c r="L451" s="122"/>
    </row>
    <row r="452" spans="1:12" s="20" customFormat="1" ht="38.25">
      <c r="A452" s="27" t="s">
        <v>703</v>
      </c>
      <c r="B452" s="15" t="s">
        <v>63</v>
      </c>
      <c r="C452" s="27" t="s">
        <v>839</v>
      </c>
      <c r="D452" s="27" t="s">
        <v>478</v>
      </c>
      <c r="E452" s="25" t="s">
        <v>140</v>
      </c>
      <c r="F452" s="128" t="s">
        <v>1059</v>
      </c>
      <c r="G452" s="120">
        <v>66015</v>
      </c>
      <c r="H452" s="164">
        <f t="shared" si="6"/>
        <v>0</v>
      </c>
      <c r="I452" s="120">
        <v>66015</v>
      </c>
      <c r="J452" s="120">
        <v>66015</v>
      </c>
      <c r="K452" s="21"/>
      <c r="L452" s="122"/>
    </row>
    <row r="453" spans="1:12" s="20" customFormat="1" ht="25.5">
      <c r="A453" s="27" t="s">
        <v>703</v>
      </c>
      <c r="B453" s="15" t="s">
        <v>63</v>
      </c>
      <c r="C453" s="27" t="s">
        <v>839</v>
      </c>
      <c r="D453" s="27" t="s">
        <v>478</v>
      </c>
      <c r="E453" s="25" t="s">
        <v>140</v>
      </c>
      <c r="F453" s="128" t="s">
        <v>1175</v>
      </c>
      <c r="G453" s="120">
        <v>69722</v>
      </c>
      <c r="H453" s="164">
        <f t="shared" si="6"/>
        <v>0</v>
      </c>
      <c r="I453" s="120">
        <v>69722</v>
      </c>
      <c r="J453" s="120">
        <v>69722</v>
      </c>
      <c r="K453" s="21"/>
      <c r="L453" s="122"/>
    </row>
    <row r="454" spans="1:12" s="20" customFormat="1" ht="25.5">
      <c r="A454" s="27" t="s">
        <v>703</v>
      </c>
      <c r="B454" s="15" t="s">
        <v>63</v>
      </c>
      <c r="C454" s="27" t="s">
        <v>839</v>
      </c>
      <c r="D454" s="27" t="s">
        <v>478</v>
      </c>
      <c r="E454" s="25" t="s">
        <v>140</v>
      </c>
      <c r="F454" s="128" t="s">
        <v>1176</v>
      </c>
      <c r="G454" s="120">
        <v>64569</v>
      </c>
      <c r="H454" s="164">
        <f t="shared" si="6"/>
        <v>0</v>
      </c>
      <c r="I454" s="120">
        <v>64569</v>
      </c>
      <c r="J454" s="120">
        <v>64569</v>
      </c>
      <c r="K454" s="21"/>
      <c r="L454" s="122"/>
    </row>
    <row r="455" spans="1:12" s="20" customFormat="1" ht="38.25">
      <c r="A455" s="27" t="s">
        <v>703</v>
      </c>
      <c r="B455" s="15" t="s">
        <v>63</v>
      </c>
      <c r="C455" s="27" t="s">
        <v>839</v>
      </c>
      <c r="D455" s="27" t="s">
        <v>478</v>
      </c>
      <c r="E455" s="25" t="s">
        <v>140</v>
      </c>
      <c r="F455" s="128" t="s">
        <v>1177</v>
      </c>
      <c r="G455" s="120">
        <v>66617</v>
      </c>
      <c r="H455" s="164">
        <f t="shared" si="6"/>
        <v>0</v>
      </c>
      <c r="I455" s="120">
        <v>66617</v>
      </c>
      <c r="J455" s="120">
        <v>66617</v>
      </c>
      <c r="K455" s="21"/>
      <c r="L455" s="122"/>
    </row>
    <row r="456" spans="1:12" s="20" customFormat="1" ht="25.5">
      <c r="A456" s="27" t="s">
        <v>703</v>
      </c>
      <c r="B456" s="15" t="s">
        <v>63</v>
      </c>
      <c r="C456" s="27" t="s">
        <v>839</v>
      </c>
      <c r="D456" s="27" t="s">
        <v>478</v>
      </c>
      <c r="E456" s="25" t="s">
        <v>140</v>
      </c>
      <c r="F456" s="128" t="s">
        <v>1178</v>
      </c>
      <c r="G456" s="120">
        <v>64960</v>
      </c>
      <c r="H456" s="164">
        <f t="shared" si="6"/>
        <v>0</v>
      </c>
      <c r="I456" s="120">
        <v>64960</v>
      </c>
      <c r="J456" s="120">
        <v>64960</v>
      </c>
      <c r="K456" s="21"/>
      <c r="L456" s="122"/>
    </row>
    <row r="457" spans="1:12" s="20" customFormat="1" ht="25.5">
      <c r="A457" s="27" t="s">
        <v>703</v>
      </c>
      <c r="B457" s="15" t="s">
        <v>63</v>
      </c>
      <c r="C457" s="27" t="s">
        <v>839</v>
      </c>
      <c r="D457" s="27" t="s">
        <v>478</v>
      </c>
      <c r="E457" s="25" t="s">
        <v>140</v>
      </c>
      <c r="F457" s="128" t="s">
        <v>1179</v>
      </c>
      <c r="G457" s="120">
        <v>67521</v>
      </c>
      <c r="H457" s="164">
        <f t="shared" si="6"/>
        <v>0</v>
      </c>
      <c r="I457" s="120">
        <v>67521</v>
      </c>
      <c r="J457" s="120">
        <v>67521</v>
      </c>
      <c r="K457" s="21"/>
      <c r="L457" s="122"/>
    </row>
    <row r="458" spans="1:12" s="20" customFormat="1" ht="25.5">
      <c r="A458" s="27" t="s">
        <v>703</v>
      </c>
      <c r="B458" s="15" t="s">
        <v>63</v>
      </c>
      <c r="C458" s="27" t="s">
        <v>839</v>
      </c>
      <c r="D458" s="27" t="s">
        <v>478</v>
      </c>
      <c r="E458" s="25" t="s">
        <v>140</v>
      </c>
      <c r="F458" s="128" t="s">
        <v>1180</v>
      </c>
      <c r="G458" s="120">
        <v>66015</v>
      </c>
      <c r="H458" s="164">
        <f t="shared" si="6"/>
        <v>0</v>
      </c>
      <c r="I458" s="120">
        <v>66015</v>
      </c>
      <c r="J458" s="120">
        <v>66015</v>
      </c>
      <c r="K458" s="21"/>
      <c r="L458" s="122"/>
    </row>
    <row r="459" spans="1:12" s="20" customFormat="1" ht="25.5">
      <c r="A459" s="27" t="s">
        <v>703</v>
      </c>
      <c r="B459" s="15" t="s">
        <v>63</v>
      </c>
      <c r="C459" s="27" t="s">
        <v>839</v>
      </c>
      <c r="D459" s="27" t="s">
        <v>478</v>
      </c>
      <c r="E459" s="25" t="s">
        <v>140</v>
      </c>
      <c r="F459" s="44" t="s">
        <v>1365</v>
      </c>
      <c r="G459" s="120">
        <v>65351</v>
      </c>
      <c r="H459" s="164">
        <f t="shared" si="6"/>
        <v>0</v>
      </c>
      <c r="I459" s="120">
        <v>65351</v>
      </c>
      <c r="J459" s="120">
        <v>65351</v>
      </c>
      <c r="K459" s="21"/>
      <c r="L459" s="122"/>
    </row>
    <row r="460" spans="1:12" s="20" customFormat="1" ht="25.5">
      <c r="A460" s="27" t="s">
        <v>703</v>
      </c>
      <c r="B460" s="15" t="s">
        <v>63</v>
      </c>
      <c r="C460" s="27" t="s">
        <v>839</v>
      </c>
      <c r="D460" s="27" t="s">
        <v>478</v>
      </c>
      <c r="E460" s="25" t="s">
        <v>140</v>
      </c>
      <c r="F460" s="128" t="s">
        <v>1181</v>
      </c>
      <c r="G460" s="120">
        <v>67882</v>
      </c>
      <c r="H460" s="164">
        <f t="shared" si="6"/>
        <v>0</v>
      </c>
      <c r="I460" s="120">
        <v>67882</v>
      </c>
      <c r="J460" s="120">
        <v>67882</v>
      </c>
      <c r="K460" s="21"/>
      <c r="L460" s="122"/>
    </row>
    <row r="461" spans="1:12" s="20" customFormat="1" ht="25.5">
      <c r="A461" s="27" t="s">
        <v>703</v>
      </c>
      <c r="B461" s="15" t="s">
        <v>63</v>
      </c>
      <c r="C461" s="27" t="s">
        <v>839</v>
      </c>
      <c r="D461" s="27" t="s">
        <v>478</v>
      </c>
      <c r="E461" s="25" t="s">
        <v>140</v>
      </c>
      <c r="F461" s="128" t="s">
        <v>1182</v>
      </c>
      <c r="G461" s="120">
        <v>65050</v>
      </c>
      <c r="H461" s="164">
        <f t="shared" si="6"/>
        <v>0</v>
      </c>
      <c r="I461" s="120">
        <v>65050</v>
      </c>
      <c r="J461" s="120">
        <v>65050</v>
      </c>
      <c r="K461" s="21"/>
      <c r="L461" s="122"/>
    </row>
    <row r="462" spans="1:12" s="20" customFormat="1" ht="39.75" customHeight="1">
      <c r="A462" s="27" t="s">
        <v>703</v>
      </c>
      <c r="B462" s="15" t="s">
        <v>63</v>
      </c>
      <c r="C462" s="27" t="s">
        <v>839</v>
      </c>
      <c r="D462" s="27" t="s">
        <v>478</v>
      </c>
      <c r="E462" s="25" t="s">
        <v>140</v>
      </c>
      <c r="F462" s="44" t="s">
        <v>1224</v>
      </c>
      <c r="G462" s="120">
        <v>67371</v>
      </c>
      <c r="H462" s="164">
        <f t="shared" si="6"/>
        <v>0</v>
      </c>
      <c r="I462" s="120">
        <v>67371</v>
      </c>
      <c r="J462" s="120">
        <v>67371</v>
      </c>
      <c r="K462" s="21"/>
      <c r="L462" s="122"/>
    </row>
    <row r="463" spans="1:12" s="20" customFormat="1" ht="25.5">
      <c r="A463" s="27" t="s">
        <v>703</v>
      </c>
      <c r="B463" s="15" t="s">
        <v>63</v>
      </c>
      <c r="C463" s="27" t="s">
        <v>839</v>
      </c>
      <c r="D463" s="27" t="s">
        <v>478</v>
      </c>
      <c r="E463" s="25" t="s">
        <v>140</v>
      </c>
      <c r="F463" s="128" t="s">
        <v>1183</v>
      </c>
      <c r="G463" s="120">
        <v>64960</v>
      </c>
      <c r="H463" s="164">
        <f t="shared" si="6"/>
        <v>0</v>
      </c>
      <c r="I463" s="120">
        <v>64960</v>
      </c>
      <c r="J463" s="120">
        <v>64960</v>
      </c>
      <c r="K463" s="21"/>
      <c r="L463" s="122"/>
    </row>
    <row r="464" spans="1:12" s="20" customFormat="1" ht="25.5">
      <c r="A464" s="27" t="s">
        <v>703</v>
      </c>
      <c r="B464" s="15" t="s">
        <v>63</v>
      </c>
      <c r="C464" s="27" t="s">
        <v>839</v>
      </c>
      <c r="D464" s="27" t="s">
        <v>478</v>
      </c>
      <c r="E464" s="25" t="s">
        <v>140</v>
      </c>
      <c r="F464" s="128" t="s">
        <v>1184</v>
      </c>
      <c r="G464" s="120">
        <v>64749</v>
      </c>
      <c r="H464" s="164">
        <f t="shared" si="6"/>
        <v>0</v>
      </c>
      <c r="I464" s="120">
        <v>64749</v>
      </c>
      <c r="J464" s="120">
        <v>64749</v>
      </c>
      <c r="K464" s="21"/>
      <c r="L464" s="122"/>
    </row>
    <row r="465" spans="1:12" s="20" customFormat="1" ht="26.25" customHeight="1">
      <c r="A465" s="27" t="s">
        <v>703</v>
      </c>
      <c r="B465" s="15" t="s">
        <v>63</v>
      </c>
      <c r="C465" s="27" t="s">
        <v>839</v>
      </c>
      <c r="D465" s="27" t="s">
        <v>478</v>
      </c>
      <c r="E465" s="25" t="s">
        <v>140</v>
      </c>
      <c r="F465" s="44" t="s">
        <v>1310</v>
      </c>
      <c r="G465" s="120">
        <v>65351</v>
      </c>
      <c r="H465" s="164">
        <f t="shared" si="6"/>
        <v>0</v>
      </c>
      <c r="I465" s="120">
        <v>65351</v>
      </c>
      <c r="J465" s="120">
        <v>65351</v>
      </c>
      <c r="K465" s="21"/>
      <c r="L465" s="122"/>
    </row>
    <row r="466" spans="1:12" s="20" customFormat="1" ht="38.25">
      <c r="A466" s="27" t="s">
        <v>703</v>
      </c>
      <c r="B466" s="15" t="s">
        <v>63</v>
      </c>
      <c r="C466" s="27" t="s">
        <v>839</v>
      </c>
      <c r="D466" s="27" t="s">
        <v>478</v>
      </c>
      <c r="E466" s="25" t="s">
        <v>140</v>
      </c>
      <c r="F466" s="128" t="s">
        <v>1185</v>
      </c>
      <c r="G466" s="120">
        <v>66015</v>
      </c>
      <c r="H466" s="164">
        <f t="shared" si="6"/>
        <v>0</v>
      </c>
      <c r="I466" s="120">
        <v>66015</v>
      </c>
      <c r="J466" s="120">
        <v>66015</v>
      </c>
      <c r="K466" s="21"/>
      <c r="L466" s="122"/>
    </row>
    <row r="467" spans="1:12" s="20" customFormat="1" ht="38.25">
      <c r="A467" s="27" t="s">
        <v>703</v>
      </c>
      <c r="B467" s="15" t="s">
        <v>63</v>
      </c>
      <c r="C467" s="27" t="s">
        <v>839</v>
      </c>
      <c r="D467" s="27" t="s">
        <v>478</v>
      </c>
      <c r="E467" s="25" t="s">
        <v>140</v>
      </c>
      <c r="F467" s="44" t="s">
        <v>1338</v>
      </c>
      <c r="G467" s="120">
        <v>33104</v>
      </c>
      <c r="H467" s="164">
        <f t="shared" si="6"/>
        <v>0</v>
      </c>
      <c r="I467" s="120">
        <v>33104</v>
      </c>
      <c r="J467" s="120">
        <v>33104</v>
      </c>
      <c r="K467" s="21"/>
      <c r="L467" s="122"/>
    </row>
    <row r="468" spans="1:12" s="20" customFormat="1" ht="25.5">
      <c r="A468" s="27" t="s">
        <v>703</v>
      </c>
      <c r="B468" s="15" t="s">
        <v>63</v>
      </c>
      <c r="C468" s="27" t="s">
        <v>839</v>
      </c>
      <c r="D468" s="27" t="s">
        <v>478</v>
      </c>
      <c r="E468" s="25" t="s">
        <v>140</v>
      </c>
      <c r="F468" s="44" t="s">
        <v>1265</v>
      </c>
      <c r="G468" s="120">
        <v>256236</v>
      </c>
      <c r="H468" s="164">
        <f aca="true" t="shared" si="7" ref="H468:H503">100-(I468/G468*100)</f>
        <v>61.05738459857319</v>
      </c>
      <c r="I468" s="120">
        <v>99785</v>
      </c>
      <c r="J468" s="120">
        <v>1656</v>
      </c>
      <c r="K468" s="21"/>
      <c r="L468" s="122"/>
    </row>
    <row r="469" spans="1:12" s="20" customFormat="1" ht="25.5">
      <c r="A469" s="27" t="s">
        <v>703</v>
      </c>
      <c r="B469" s="15" t="s">
        <v>63</v>
      </c>
      <c r="C469" s="27" t="s">
        <v>839</v>
      </c>
      <c r="D469" s="27" t="s">
        <v>478</v>
      </c>
      <c r="E469" s="25" t="s">
        <v>140</v>
      </c>
      <c r="F469" s="44" t="s">
        <v>1266</v>
      </c>
      <c r="G469" s="120">
        <v>56200</v>
      </c>
      <c r="H469" s="164">
        <f t="shared" si="7"/>
        <v>52.75266903914591</v>
      </c>
      <c r="I469" s="120">
        <v>26553</v>
      </c>
      <c r="J469" s="120">
        <v>10974</v>
      </c>
      <c r="K469" s="21"/>
      <c r="L469" s="122"/>
    </row>
    <row r="470" spans="1:12" s="20" customFormat="1" ht="25.5">
      <c r="A470" s="27" t="s">
        <v>703</v>
      </c>
      <c r="B470" s="15" t="s">
        <v>63</v>
      </c>
      <c r="C470" s="27" t="s">
        <v>839</v>
      </c>
      <c r="D470" s="27" t="s">
        <v>478</v>
      </c>
      <c r="E470" s="25" t="s">
        <v>140</v>
      </c>
      <c r="F470" s="44" t="s">
        <v>1267</v>
      </c>
      <c r="G470" s="120">
        <v>88118</v>
      </c>
      <c r="H470" s="164">
        <f t="shared" si="7"/>
        <v>19.92668921219274</v>
      </c>
      <c r="I470" s="120">
        <v>70559</v>
      </c>
      <c r="J470" s="120">
        <v>46731</v>
      </c>
      <c r="K470" s="21"/>
      <c r="L470" s="122"/>
    </row>
    <row r="471" spans="1:12" s="20" customFormat="1" ht="25.5">
      <c r="A471" s="27" t="s">
        <v>703</v>
      </c>
      <c r="B471" s="15" t="s">
        <v>63</v>
      </c>
      <c r="C471" s="27" t="s">
        <v>839</v>
      </c>
      <c r="D471" s="27" t="s">
        <v>478</v>
      </c>
      <c r="E471" s="25" t="s">
        <v>140</v>
      </c>
      <c r="F471" s="44" t="s">
        <v>1268</v>
      </c>
      <c r="G471" s="120">
        <v>383767</v>
      </c>
      <c r="H471" s="164">
        <f t="shared" si="7"/>
        <v>55.59701589766707</v>
      </c>
      <c r="I471" s="120">
        <v>170404</v>
      </c>
      <c r="J471" s="120">
        <v>2954</v>
      </c>
      <c r="K471" s="21"/>
      <c r="L471" s="122"/>
    </row>
    <row r="472" spans="1:12" s="20" customFormat="1" ht="38.25">
      <c r="A472" s="27" t="s">
        <v>703</v>
      </c>
      <c r="B472" s="15" t="s">
        <v>63</v>
      </c>
      <c r="C472" s="27" t="s">
        <v>839</v>
      </c>
      <c r="D472" s="27" t="s">
        <v>478</v>
      </c>
      <c r="E472" s="25" t="s">
        <v>140</v>
      </c>
      <c r="F472" s="44" t="s">
        <v>1269</v>
      </c>
      <c r="G472" s="120">
        <v>397921</v>
      </c>
      <c r="H472" s="164">
        <f t="shared" si="7"/>
        <v>65.05864229331954</v>
      </c>
      <c r="I472" s="120">
        <v>139039</v>
      </c>
      <c r="J472" s="120">
        <v>3222</v>
      </c>
      <c r="K472" s="21"/>
      <c r="L472" s="122"/>
    </row>
    <row r="473" spans="1:12" s="20" customFormat="1" ht="38.25">
      <c r="A473" s="27" t="s">
        <v>703</v>
      </c>
      <c r="B473" s="15" t="s">
        <v>63</v>
      </c>
      <c r="C473" s="27" t="s">
        <v>839</v>
      </c>
      <c r="D473" s="27" t="s">
        <v>478</v>
      </c>
      <c r="E473" s="25" t="s">
        <v>140</v>
      </c>
      <c r="F473" s="44" t="s">
        <v>1270</v>
      </c>
      <c r="G473" s="120">
        <v>181596</v>
      </c>
      <c r="H473" s="164">
        <f t="shared" si="7"/>
        <v>88.77838718914514</v>
      </c>
      <c r="I473" s="120">
        <v>20378</v>
      </c>
      <c r="J473" s="120">
        <v>1981</v>
      </c>
      <c r="K473" s="21"/>
      <c r="L473" s="122"/>
    </row>
    <row r="474" spans="1:12" s="20" customFormat="1" ht="25.5">
      <c r="A474" s="27" t="s">
        <v>703</v>
      </c>
      <c r="B474" s="15" t="s">
        <v>63</v>
      </c>
      <c r="C474" s="27" t="s">
        <v>839</v>
      </c>
      <c r="D474" s="27" t="s">
        <v>478</v>
      </c>
      <c r="E474" s="25" t="s">
        <v>140</v>
      </c>
      <c r="F474" s="44" t="s">
        <v>1271</v>
      </c>
      <c r="G474" s="120">
        <v>1388947</v>
      </c>
      <c r="H474" s="164">
        <f t="shared" si="7"/>
        <v>66.87512194489783</v>
      </c>
      <c r="I474" s="120">
        <v>460087</v>
      </c>
      <c r="J474" s="120">
        <v>13567</v>
      </c>
      <c r="K474" s="21"/>
      <c r="L474" s="122"/>
    </row>
    <row r="475" spans="1:12" s="20" customFormat="1" ht="25.5">
      <c r="A475" s="27" t="s">
        <v>703</v>
      </c>
      <c r="B475" s="15" t="s">
        <v>63</v>
      </c>
      <c r="C475" s="27" t="s">
        <v>839</v>
      </c>
      <c r="D475" s="27" t="s">
        <v>478</v>
      </c>
      <c r="E475" s="25" t="s">
        <v>140</v>
      </c>
      <c r="F475" s="44" t="s">
        <v>1272</v>
      </c>
      <c r="G475" s="120">
        <v>122114</v>
      </c>
      <c r="H475" s="164">
        <f t="shared" si="7"/>
        <v>64.55934618471264</v>
      </c>
      <c r="I475" s="120">
        <v>43278</v>
      </c>
      <c r="J475" s="120">
        <v>2600</v>
      </c>
      <c r="K475" s="21"/>
      <c r="L475" s="122"/>
    </row>
    <row r="476" spans="1:12" s="20" customFormat="1" ht="25.5">
      <c r="A476" s="27" t="s">
        <v>703</v>
      </c>
      <c r="B476" s="15" t="s">
        <v>63</v>
      </c>
      <c r="C476" s="27" t="s">
        <v>839</v>
      </c>
      <c r="D476" s="27" t="s">
        <v>478</v>
      </c>
      <c r="E476" s="25" t="s">
        <v>140</v>
      </c>
      <c r="F476" s="44" t="s">
        <v>1273</v>
      </c>
      <c r="G476" s="120">
        <v>285905</v>
      </c>
      <c r="H476" s="164">
        <f t="shared" si="7"/>
        <v>59.51697242090904</v>
      </c>
      <c r="I476" s="120">
        <v>115743</v>
      </c>
      <c r="J476" s="120">
        <v>1766</v>
      </c>
      <c r="K476" s="21"/>
      <c r="L476" s="122"/>
    </row>
    <row r="477" spans="1:12" s="20" customFormat="1" ht="25.5">
      <c r="A477" s="27" t="s">
        <v>703</v>
      </c>
      <c r="B477" s="15" t="s">
        <v>63</v>
      </c>
      <c r="C477" s="27" t="s">
        <v>839</v>
      </c>
      <c r="D477" s="27" t="s">
        <v>478</v>
      </c>
      <c r="E477" s="25" t="s">
        <v>140</v>
      </c>
      <c r="F477" s="44" t="s">
        <v>1274</v>
      </c>
      <c r="G477" s="120">
        <v>176278</v>
      </c>
      <c r="H477" s="164">
        <f t="shared" si="7"/>
        <v>63.25746831709005</v>
      </c>
      <c r="I477" s="120">
        <v>64769</v>
      </c>
      <c r="J477" s="120">
        <v>1228</v>
      </c>
      <c r="K477" s="21"/>
      <c r="L477" s="122"/>
    </row>
    <row r="478" spans="1:12" s="20" customFormat="1" ht="25.5">
      <c r="A478" s="27" t="s">
        <v>703</v>
      </c>
      <c r="B478" s="15" t="s">
        <v>63</v>
      </c>
      <c r="C478" s="27" t="s">
        <v>839</v>
      </c>
      <c r="D478" s="27" t="s">
        <v>478</v>
      </c>
      <c r="E478" s="25" t="s">
        <v>140</v>
      </c>
      <c r="F478" s="44" t="s">
        <v>1275</v>
      </c>
      <c r="G478" s="120">
        <v>79219</v>
      </c>
      <c r="H478" s="164">
        <f t="shared" si="7"/>
        <v>82.48778702079046</v>
      </c>
      <c r="I478" s="120">
        <v>13873</v>
      </c>
      <c r="J478" s="120">
        <v>734</v>
      </c>
      <c r="K478" s="21"/>
      <c r="L478" s="122"/>
    </row>
    <row r="479" spans="1:12" s="20" customFormat="1" ht="37.5" customHeight="1">
      <c r="A479" s="27" t="s">
        <v>703</v>
      </c>
      <c r="B479" s="15" t="s">
        <v>63</v>
      </c>
      <c r="C479" s="27" t="s">
        <v>839</v>
      </c>
      <c r="D479" s="27" t="s">
        <v>478</v>
      </c>
      <c r="E479" s="25" t="s">
        <v>140</v>
      </c>
      <c r="F479" s="44" t="s">
        <v>1320</v>
      </c>
      <c r="G479" s="120">
        <v>602089</v>
      </c>
      <c r="H479" s="164">
        <f t="shared" si="7"/>
        <v>0</v>
      </c>
      <c r="I479" s="120">
        <v>602089</v>
      </c>
      <c r="J479" s="120">
        <v>602089</v>
      </c>
      <c r="K479" s="21"/>
      <c r="L479" s="122"/>
    </row>
    <row r="480" spans="1:12" s="20" customFormat="1" ht="25.5">
      <c r="A480" s="27" t="s">
        <v>703</v>
      </c>
      <c r="B480" s="15" t="s">
        <v>63</v>
      </c>
      <c r="C480" s="27" t="s">
        <v>839</v>
      </c>
      <c r="D480" s="27" t="s">
        <v>478</v>
      </c>
      <c r="E480" s="25" t="s">
        <v>140</v>
      </c>
      <c r="F480" s="44" t="s">
        <v>1276</v>
      </c>
      <c r="G480" s="120">
        <v>345554</v>
      </c>
      <c r="H480" s="164">
        <f t="shared" si="7"/>
        <v>59.1079831227536</v>
      </c>
      <c r="I480" s="120">
        <v>141304</v>
      </c>
      <c r="J480" s="120">
        <v>5077</v>
      </c>
      <c r="K480" s="21"/>
      <c r="L480" s="122"/>
    </row>
    <row r="481" spans="1:12" s="20" customFormat="1" ht="25.5">
      <c r="A481" s="27" t="s">
        <v>703</v>
      </c>
      <c r="B481" s="15" t="s">
        <v>63</v>
      </c>
      <c r="C481" s="27" t="s">
        <v>839</v>
      </c>
      <c r="D481" s="27" t="s">
        <v>478</v>
      </c>
      <c r="E481" s="25" t="s">
        <v>140</v>
      </c>
      <c r="F481" s="44" t="s">
        <v>1277</v>
      </c>
      <c r="G481" s="120">
        <v>210991</v>
      </c>
      <c r="H481" s="164">
        <f t="shared" si="7"/>
        <v>54.21890033224166</v>
      </c>
      <c r="I481" s="120">
        <v>96594</v>
      </c>
      <c r="J481" s="120">
        <v>1133</v>
      </c>
      <c r="K481" s="21"/>
      <c r="L481" s="122"/>
    </row>
    <row r="482" spans="1:12" s="20" customFormat="1" ht="25.5">
      <c r="A482" s="27" t="s">
        <v>703</v>
      </c>
      <c r="B482" s="15" t="s">
        <v>63</v>
      </c>
      <c r="C482" s="27" t="s">
        <v>839</v>
      </c>
      <c r="D482" s="27" t="s">
        <v>478</v>
      </c>
      <c r="E482" s="25" t="s">
        <v>140</v>
      </c>
      <c r="F482" s="44" t="s">
        <v>1278</v>
      </c>
      <c r="G482" s="120">
        <v>131233</v>
      </c>
      <c r="H482" s="164">
        <f t="shared" si="7"/>
        <v>75.33547202304298</v>
      </c>
      <c r="I482" s="120">
        <v>32368</v>
      </c>
      <c r="J482" s="120">
        <v>1901</v>
      </c>
      <c r="K482" s="21"/>
      <c r="L482" s="122"/>
    </row>
    <row r="483" spans="1:12" s="20" customFormat="1" ht="38.25">
      <c r="A483" s="27" t="s">
        <v>703</v>
      </c>
      <c r="B483" s="15" t="s">
        <v>63</v>
      </c>
      <c r="C483" s="27" t="s">
        <v>839</v>
      </c>
      <c r="D483" s="27" t="s">
        <v>478</v>
      </c>
      <c r="E483" s="25" t="s">
        <v>140</v>
      </c>
      <c r="F483" s="44" t="s">
        <v>1279</v>
      </c>
      <c r="G483" s="120">
        <v>3246426</v>
      </c>
      <c r="H483" s="164">
        <f t="shared" si="7"/>
        <v>56.102002633049395</v>
      </c>
      <c r="I483" s="120">
        <v>1425116</v>
      </c>
      <c r="J483" s="120">
        <v>4944</v>
      </c>
      <c r="K483" s="21"/>
      <c r="L483" s="122"/>
    </row>
    <row r="484" spans="1:12" s="20" customFormat="1" ht="25.5">
      <c r="A484" s="27" t="s">
        <v>703</v>
      </c>
      <c r="B484" s="15" t="s">
        <v>63</v>
      </c>
      <c r="C484" s="27" t="s">
        <v>839</v>
      </c>
      <c r="D484" s="27" t="s">
        <v>478</v>
      </c>
      <c r="E484" s="25" t="s">
        <v>140</v>
      </c>
      <c r="F484" s="44" t="s">
        <v>1280</v>
      </c>
      <c r="G484" s="120">
        <v>4390376</v>
      </c>
      <c r="H484" s="164">
        <f t="shared" si="7"/>
        <v>55.78201047017385</v>
      </c>
      <c r="I484" s="120">
        <v>1941336</v>
      </c>
      <c r="J484" s="120">
        <v>2472</v>
      </c>
      <c r="K484" s="21"/>
      <c r="L484" s="122"/>
    </row>
    <row r="485" spans="1:12" s="20" customFormat="1" ht="25.5">
      <c r="A485" s="27" t="s">
        <v>703</v>
      </c>
      <c r="B485" s="15" t="s">
        <v>63</v>
      </c>
      <c r="C485" s="27" t="s">
        <v>839</v>
      </c>
      <c r="D485" s="27" t="s">
        <v>478</v>
      </c>
      <c r="E485" s="25" t="s">
        <v>140</v>
      </c>
      <c r="F485" s="44" t="s">
        <v>1281</v>
      </c>
      <c r="G485" s="120">
        <v>98520</v>
      </c>
      <c r="H485" s="164">
        <f t="shared" si="7"/>
        <v>37.664433617539586</v>
      </c>
      <c r="I485" s="120">
        <v>61413</v>
      </c>
      <c r="J485" s="120">
        <v>11494</v>
      </c>
      <c r="K485" s="21"/>
      <c r="L485" s="122"/>
    </row>
    <row r="486" spans="1:12" s="20" customFormat="1" ht="25.5">
      <c r="A486" s="27" t="s">
        <v>703</v>
      </c>
      <c r="B486" s="15" t="s">
        <v>63</v>
      </c>
      <c r="C486" s="27" t="s">
        <v>839</v>
      </c>
      <c r="D486" s="27" t="s">
        <v>478</v>
      </c>
      <c r="E486" s="25" t="s">
        <v>140</v>
      </c>
      <c r="F486" s="44" t="s">
        <v>1282</v>
      </c>
      <c r="G486" s="120">
        <v>292642</v>
      </c>
      <c r="H486" s="164">
        <f t="shared" si="7"/>
        <v>4.928205794110212</v>
      </c>
      <c r="I486" s="120">
        <v>278220</v>
      </c>
      <c r="J486" s="120">
        <f>278220-164686</f>
        <v>113534</v>
      </c>
      <c r="K486" s="21"/>
      <c r="L486" s="122"/>
    </row>
    <row r="487" spans="1:12" s="20" customFormat="1" ht="25.5">
      <c r="A487" s="27" t="s">
        <v>703</v>
      </c>
      <c r="B487" s="15" t="s">
        <v>63</v>
      </c>
      <c r="C487" s="27" t="s">
        <v>839</v>
      </c>
      <c r="D487" s="27" t="s">
        <v>478</v>
      </c>
      <c r="E487" s="25" t="s">
        <v>140</v>
      </c>
      <c r="F487" s="44" t="s">
        <v>1283</v>
      </c>
      <c r="G487" s="120">
        <v>322392</v>
      </c>
      <c r="H487" s="164">
        <f t="shared" si="7"/>
        <v>5.8708032457381165</v>
      </c>
      <c r="I487" s="120">
        <v>303465</v>
      </c>
      <c r="J487" s="120">
        <f>303465-120170</f>
        <v>183295</v>
      </c>
      <c r="K487" s="21"/>
      <c r="L487" s="122"/>
    </row>
    <row r="488" spans="1:12" s="20" customFormat="1" ht="25.5">
      <c r="A488" s="27" t="s">
        <v>703</v>
      </c>
      <c r="B488" s="15" t="s">
        <v>63</v>
      </c>
      <c r="C488" s="27" t="s">
        <v>839</v>
      </c>
      <c r="D488" s="27" t="s">
        <v>478</v>
      </c>
      <c r="E488" s="25" t="s">
        <v>140</v>
      </c>
      <c r="F488" s="44" t="s">
        <v>1284</v>
      </c>
      <c r="G488" s="120">
        <v>128330</v>
      </c>
      <c r="H488" s="164">
        <f t="shared" si="7"/>
        <v>19.17088755552092</v>
      </c>
      <c r="I488" s="120">
        <v>103728</v>
      </c>
      <c r="J488" s="120">
        <f>103728-48547</f>
        <v>55181</v>
      </c>
      <c r="K488" s="21"/>
      <c r="L488" s="122"/>
    </row>
    <row r="489" spans="1:12" s="20" customFormat="1" ht="25.5">
      <c r="A489" s="27" t="s">
        <v>703</v>
      </c>
      <c r="B489" s="15" t="s">
        <v>63</v>
      </c>
      <c r="C489" s="27" t="s">
        <v>839</v>
      </c>
      <c r="D489" s="27" t="s">
        <v>478</v>
      </c>
      <c r="E489" s="25" t="s">
        <v>140</v>
      </c>
      <c r="F489" s="44" t="s">
        <v>1333</v>
      </c>
      <c r="G489" s="120">
        <v>504517</v>
      </c>
      <c r="H489" s="164">
        <f t="shared" si="7"/>
        <v>8.003298204024844</v>
      </c>
      <c r="I489" s="120">
        <v>464139</v>
      </c>
      <c r="J489" s="120">
        <f>464139-201736</f>
        <v>262403</v>
      </c>
      <c r="K489" s="21"/>
      <c r="L489" s="122"/>
    </row>
    <row r="490" spans="1:12" s="20" customFormat="1" ht="25.5">
      <c r="A490" s="27" t="s">
        <v>703</v>
      </c>
      <c r="B490" s="15" t="s">
        <v>63</v>
      </c>
      <c r="C490" s="27" t="s">
        <v>839</v>
      </c>
      <c r="D490" s="27" t="s">
        <v>478</v>
      </c>
      <c r="E490" s="25" t="s">
        <v>140</v>
      </c>
      <c r="F490" s="44" t="s">
        <v>1285</v>
      </c>
      <c r="G490" s="120">
        <v>190775</v>
      </c>
      <c r="H490" s="164">
        <f t="shared" si="7"/>
        <v>10.608308216485383</v>
      </c>
      <c r="I490" s="120">
        <v>170537</v>
      </c>
      <c r="J490" s="120">
        <f>170537-70993</f>
        <v>99544</v>
      </c>
      <c r="K490" s="21"/>
      <c r="L490" s="122"/>
    </row>
    <row r="491" spans="1:12" s="20" customFormat="1" ht="25.5">
      <c r="A491" s="27" t="s">
        <v>703</v>
      </c>
      <c r="B491" s="15" t="s">
        <v>63</v>
      </c>
      <c r="C491" s="27" t="s">
        <v>839</v>
      </c>
      <c r="D491" s="27" t="s">
        <v>478</v>
      </c>
      <c r="E491" s="25" t="s">
        <v>140</v>
      </c>
      <c r="F491" s="44" t="s">
        <v>1286</v>
      </c>
      <c r="G491" s="120">
        <v>136676</v>
      </c>
      <c r="H491" s="164">
        <f t="shared" si="7"/>
        <v>3.8024232491439562</v>
      </c>
      <c r="I491" s="120">
        <f>131479</f>
        <v>131479</v>
      </c>
      <c r="J491" s="120">
        <f>131479-32626</f>
        <v>98853</v>
      </c>
      <c r="K491" s="21"/>
      <c r="L491" s="122"/>
    </row>
    <row r="492" spans="1:12" s="20" customFormat="1" ht="25.5">
      <c r="A492" s="27" t="s">
        <v>703</v>
      </c>
      <c r="B492" s="15" t="s">
        <v>63</v>
      </c>
      <c r="C492" s="27" t="s">
        <v>839</v>
      </c>
      <c r="D492" s="27" t="s">
        <v>478</v>
      </c>
      <c r="E492" s="25" t="s">
        <v>140</v>
      </c>
      <c r="F492" s="44" t="s">
        <v>1287</v>
      </c>
      <c r="G492" s="120">
        <v>118120</v>
      </c>
      <c r="H492" s="164">
        <f t="shared" si="7"/>
        <v>3.923975618015575</v>
      </c>
      <c r="I492" s="120">
        <v>113485</v>
      </c>
      <c r="J492" s="120">
        <f>113485-20239</f>
        <v>93246</v>
      </c>
      <c r="K492" s="21"/>
      <c r="L492" s="122"/>
    </row>
    <row r="493" spans="1:12" s="20" customFormat="1" ht="25.5">
      <c r="A493" s="27" t="s">
        <v>703</v>
      </c>
      <c r="B493" s="15" t="s">
        <v>63</v>
      </c>
      <c r="C493" s="27" t="s">
        <v>839</v>
      </c>
      <c r="D493" s="27" t="s">
        <v>478</v>
      </c>
      <c r="E493" s="25" t="s">
        <v>140</v>
      </c>
      <c r="F493" s="44" t="s">
        <v>1288</v>
      </c>
      <c r="G493" s="120">
        <v>161840</v>
      </c>
      <c r="H493" s="164">
        <f t="shared" si="7"/>
        <v>15.479485912011853</v>
      </c>
      <c r="I493" s="120">
        <v>136788</v>
      </c>
      <c r="J493" s="120">
        <v>136788</v>
      </c>
      <c r="K493" s="21"/>
      <c r="L493" s="122"/>
    </row>
    <row r="494" spans="1:12" s="20" customFormat="1" ht="25.5">
      <c r="A494" s="27" t="s">
        <v>703</v>
      </c>
      <c r="B494" s="15" t="s">
        <v>63</v>
      </c>
      <c r="C494" s="27" t="s">
        <v>839</v>
      </c>
      <c r="D494" s="27" t="s">
        <v>478</v>
      </c>
      <c r="E494" s="25" t="s">
        <v>140</v>
      </c>
      <c r="F494" s="44" t="s">
        <v>1289</v>
      </c>
      <c r="G494" s="120">
        <v>341358</v>
      </c>
      <c r="H494" s="164">
        <f t="shared" si="7"/>
        <v>5.7036893818220165</v>
      </c>
      <c r="I494" s="120">
        <v>321888</v>
      </c>
      <c r="J494" s="120">
        <v>321888</v>
      </c>
      <c r="K494" s="21"/>
      <c r="L494" s="122"/>
    </row>
    <row r="495" spans="1:12" s="20" customFormat="1" ht="25.5">
      <c r="A495" s="27" t="s">
        <v>703</v>
      </c>
      <c r="B495" s="15" t="s">
        <v>63</v>
      </c>
      <c r="C495" s="27" t="s">
        <v>839</v>
      </c>
      <c r="D495" s="27" t="s">
        <v>478</v>
      </c>
      <c r="E495" s="25" t="s">
        <v>140</v>
      </c>
      <c r="F495" s="44" t="s">
        <v>1290</v>
      </c>
      <c r="G495" s="120">
        <v>201416</v>
      </c>
      <c r="H495" s="164">
        <f t="shared" si="7"/>
        <v>5.6216983755014525</v>
      </c>
      <c r="I495" s="120">
        <v>190093</v>
      </c>
      <c r="J495" s="120">
        <f>190093-90377</f>
        <v>99716</v>
      </c>
      <c r="K495" s="21"/>
      <c r="L495" s="122"/>
    </row>
    <row r="496" spans="1:12" s="20" customFormat="1" ht="25.5">
      <c r="A496" s="27" t="s">
        <v>703</v>
      </c>
      <c r="B496" s="15" t="s">
        <v>63</v>
      </c>
      <c r="C496" s="27" t="s">
        <v>839</v>
      </c>
      <c r="D496" s="27" t="s">
        <v>478</v>
      </c>
      <c r="E496" s="25" t="s">
        <v>140</v>
      </c>
      <c r="F496" s="44" t="s">
        <v>1291</v>
      </c>
      <c r="G496" s="120">
        <v>323156</v>
      </c>
      <c r="H496" s="164">
        <f t="shared" si="7"/>
        <v>6.071371102501573</v>
      </c>
      <c r="I496" s="120">
        <v>303536</v>
      </c>
      <c r="J496" s="120">
        <f>303536-112458</f>
        <v>191078</v>
      </c>
      <c r="K496" s="21"/>
      <c r="L496" s="122"/>
    </row>
    <row r="497" spans="1:12" s="20" customFormat="1" ht="25.5">
      <c r="A497" s="27" t="s">
        <v>703</v>
      </c>
      <c r="B497" s="15" t="s">
        <v>63</v>
      </c>
      <c r="C497" s="27" t="s">
        <v>839</v>
      </c>
      <c r="D497" s="27" t="s">
        <v>478</v>
      </c>
      <c r="E497" s="25" t="s">
        <v>140</v>
      </c>
      <c r="F497" s="44" t="s">
        <v>1292</v>
      </c>
      <c r="G497" s="120">
        <v>342565</v>
      </c>
      <c r="H497" s="164">
        <f t="shared" si="7"/>
        <v>4.279771722154919</v>
      </c>
      <c r="I497" s="120">
        <v>327904</v>
      </c>
      <c r="J497" s="120">
        <f>327904-142288</f>
        <v>185616</v>
      </c>
      <c r="K497" s="21"/>
      <c r="L497" s="122"/>
    </row>
    <row r="498" spans="1:12" s="20" customFormat="1" ht="25.5">
      <c r="A498" s="27" t="s">
        <v>703</v>
      </c>
      <c r="B498" s="15" t="s">
        <v>63</v>
      </c>
      <c r="C498" s="27" t="s">
        <v>839</v>
      </c>
      <c r="D498" s="27" t="s">
        <v>478</v>
      </c>
      <c r="E498" s="25" t="s">
        <v>140</v>
      </c>
      <c r="F498" s="44" t="s">
        <v>1293</v>
      </c>
      <c r="G498" s="120">
        <v>420978</v>
      </c>
      <c r="H498" s="164">
        <f t="shared" si="7"/>
        <v>6.033806992289385</v>
      </c>
      <c r="I498" s="120">
        <v>395577</v>
      </c>
      <c r="J498" s="120">
        <v>395577</v>
      </c>
      <c r="K498" s="21"/>
      <c r="L498" s="122"/>
    </row>
    <row r="499" spans="1:12" s="20" customFormat="1" ht="25.5">
      <c r="A499" s="27" t="s">
        <v>703</v>
      </c>
      <c r="B499" s="15" t="s">
        <v>63</v>
      </c>
      <c r="C499" s="27" t="s">
        <v>839</v>
      </c>
      <c r="D499" s="27" t="s">
        <v>478</v>
      </c>
      <c r="E499" s="25" t="s">
        <v>140</v>
      </c>
      <c r="F499" s="44" t="s">
        <v>1344</v>
      </c>
      <c r="G499" s="120">
        <v>441574</v>
      </c>
      <c r="H499" s="164">
        <f t="shared" si="7"/>
        <v>7.264014638543031</v>
      </c>
      <c r="I499" s="120">
        <v>409498</v>
      </c>
      <c r="J499" s="120">
        <v>254917</v>
      </c>
      <c r="K499" s="21"/>
      <c r="L499" s="122"/>
    </row>
    <row r="500" spans="1:12" s="20" customFormat="1" ht="25.5">
      <c r="A500" s="27" t="s">
        <v>703</v>
      </c>
      <c r="B500" s="15" t="s">
        <v>63</v>
      </c>
      <c r="C500" s="27" t="s">
        <v>839</v>
      </c>
      <c r="D500" s="27" t="s">
        <v>478</v>
      </c>
      <c r="E500" s="25" t="s">
        <v>140</v>
      </c>
      <c r="F500" s="44" t="s">
        <v>1345</v>
      </c>
      <c r="G500" s="120">
        <v>78949</v>
      </c>
      <c r="H500" s="164">
        <f t="shared" si="7"/>
        <v>11.071704518106628</v>
      </c>
      <c r="I500" s="120">
        <v>70208</v>
      </c>
      <c r="J500" s="120">
        <v>43381</v>
      </c>
      <c r="K500" s="21"/>
      <c r="L500" s="122"/>
    </row>
    <row r="501" spans="1:12" s="20" customFormat="1" ht="38.25">
      <c r="A501" s="27" t="s">
        <v>703</v>
      </c>
      <c r="B501" s="15" t="s">
        <v>63</v>
      </c>
      <c r="C501" s="27" t="s">
        <v>839</v>
      </c>
      <c r="D501" s="27" t="s">
        <v>478</v>
      </c>
      <c r="E501" s="25" t="s">
        <v>140</v>
      </c>
      <c r="F501" s="44" t="s">
        <v>1346</v>
      </c>
      <c r="G501" s="120">
        <v>1114429</v>
      </c>
      <c r="H501" s="164">
        <f t="shared" si="7"/>
        <v>8.114918043231114</v>
      </c>
      <c r="I501" s="120">
        <v>1023994</v>
      </c>
      <c r="J501" s="120">
        <v>828109</v>
      </c>
      <c r="K501" s="21"/>
      <c r="L501" s="122"/>
    </row>
    <row r="502" spans="1:12" s="20" customFormat="1" ht="25.5">
      <c r="A502" s="27" t="s">
        <v>703</v>
      </c>
      <c r="B502" s="15" t="s">
        <v>63</v>
      </c>
      <c r="C502" s="27" t="s">
        <v>839</v>
      </c>
      <c r="D502" s="27" t="s">
        <v>478</v>
      </c>
      <c r="E502" s="25" t="s">
        <v>140</v>
      </c>
      <c r="F502" s="44" t="s">
        <v>1347</v>
      </c>
      <c r="G502" s="120">
        <v>293729</v>
      </c>
      <c r="H502" s="164">
        <f t="shared" si="7"/>
        <v>4.650885680338007</v>
      </c>
      <c r="I502" s="120">
        <v>280068</v>
      </c>
      <c r="J502" s="120">
        <v>162186</v>
      </c>
      <c r="K502" s="21"/>
      <c r="L502" s="122"/>
    </row>
    <row r="503" spans="1:12" s="20" customFormat="1" ht="25.5">
      <c r="A503" s="27" t="s">
        <v>703</v>
      </c>
      <c r="B503" s="15" t="s">
        <v>63</v>
      </c>
      <c r="C503" s="27" t="s">
        <v>839</v>
      </c>
      <c r="D503" s="27" t="s">
        <v>478</v>
      </c>
      <c r="E503" s="25" t="s">
        <v>140</v>
      </c>
      <c r="F503" s="44" t="s">
        <v>1348</v>
      </c>
      <c r="G503" s="120">
        <v>280501</v>
      </c>
      <c r="H503" s="164">
        <f t="shared" si="7"/>
        <v>8.654871105628857</v>
      </c>
      <c r="I503" s="120">
        <v>256224</v>
      </c>
      <c r="J503" s="120">
        <v>152995</v>
      </c>
      <c r="K503" s="21"/>
      <c r="L503" s="122"/>
    </row>
    <row r="504" spans="1:12" s="20" customFormat="1" ht="38.25">
      <c r="A504" s="27" t="s">
        <v>703</v>
      </c>
      <c r="B504" s="15" t="s">
        <v>63</v>
      </c>
      <c r="C504" s="27" t="s">
        <v>839</v>
      </c>
      <c r="D504" s="27" t="s">
        <v>478</v>
      </c>
      <c r="E504" s="25" t="s">
        <v>140</v>
      </c>
      <c r="F504" s="44" t="s">
        <v>1339</v>
      </c>
      <c r="G504" s="120">
        <v>23564</v>
      </c>
      <c r="H504" s="164">
        <f t="shared" si="5"/>
        <v>0</v>
      </c>
      <c r="I504" s="120">
        <v>23564</v>
      </c>
      <c r="J504" s="120">
        <v>23564</v>
      </c>
      <c r="K504" s="21"/>
      <c r="L504" s="122"/>
    </row>
    <row r="505" spans="1:12" s="20" customFormat="1" ht="25.5">
      <c r="A505" s="27" t="s">
        <v>703</v>
      </c>
      <c r="B505" s="15" t="s">
        <v>63</v>
      </c>
      <c r="C505" s="27" t="s">
        <v>839</v>
      </c>
      <c r="D505" s="27" t="s">
        <v>478</v>
      </c>
      <c r="E505" s="25" t="s">
        <v>140</v>
      </c>
      <c r="F505" s="128" t="s">
        <v>1162</v>
      </c>
      <c r="G505" s="120">
        <v>890518</v>
      </c>
      <c r="H505" s="164">
        <f t="shared" si="5"/>
        <v>0</v>
      </c>
      <c r="I505" s="120">
        <v>890518</v>
      </c>
      <c r="J505" s="120">
        <v>890518</v>
      </c>
      <c r="K505" s="21"/>
      <c r="L505" s="122"/>
    </row>
    <row r="506" spans="1:12" s="20" customFormat="1" ht="25.5">
      <c r="A506" s="27" t="s">
        <v>703</v>
      </c>
      <c r="B506" s="15" t="s">
        <v>63</v>
      </c>
      <c r="C506" s="27" t="s">
        <v>839</v>
      </c>
      <c r="D506" s="27" t="s">
        <v>478</v>
      </c>
      <c r="E506" s="25" t="s">
        <v>140</v>
      </c>
      <c r="F506" s="128" t="s">
        <v>1163</v>
      </c>
      <c r="G506" s="120">
        <v>405151</v>
      </c>
      <c r="H506" s="164">
        <f t="shared" si="5"/>
        <v>0</v>
      </c>
      <c r="I506" s="120">
        <v>405151</v>
      </c>
      <c r="J506" s="120">
        <v>405151</v>
      </c>
      <c r="K506" s="21"/>
      <c r="L506" s="122"/>
    </row>
    <row r="507" spans="1:12" s="20" customFormat="1" ht="25.5">
      <c r="A507" s="27" t="s">
        <v>703</v>
      </c>
      <c r="B507" s="15" t="s">
        <v>63</v>
      </c>
      <c r="C507" s="27" t="s">
        <v>839</v>
      </c>
      <c r="D507" s="27" t="s">
        <v>478</v>
      </c>
      <c r="E507" s="25" t="s">
        <v>140</v>
      </c>
      <c r="F507" s="128" t="s">
        <v>1060</v>
      </c>
      <c r="G507" s="120">
        <v>1026373</v>
      </c>
      <c r="H507" s="164">
        <f t="shared" si="5"/>
        <v>0</v>
      </c>
      <c r="I507" s="120">
        <v>1026373</v>
      </c>
      <c r="J507" s="120">
        <v>1026373</v>
      </c>
      <c r="K507" s="21"/>
      <c r="L507" s="122"/>
    </row>
    <row r="508" spans="1:12" s="20" customFormat="1" ht="25.5">
      <c r="A508" s="27" t="s">
        <v>703</v>
      </c>
      <c r="B508" s="15" t="s">
        <v>63</v>
      </c>
      <c r="C508" s="27" t="s">
        <v>839</v>
      </c>
      <c r="D508" s="27" t="s">
        <v>478</v>
      </c>
      <c r="E508" s="25" t="s">
        <v>140</v>
      </c>
      <c r="F508" s="128" t="s">
        <v>1074</v>
      </c>
      <c r="G508" s="120">
        <v>913649</v>
      </c>
      <c r="H508" s="164">
        <f t="shared" si="5"/>
        <v>0</v>
      </c>
      <c r="I508" s="120">
        <v>913649</v>
      </c>
      <c r="J508" s="120">
        <f>558421+60408</f>
        <v>618829</v>
      </c>
      <c r="K508" s="21"/>
      <c r="L508" s="122"/>
    </row>
    <row r="509" spans="1:12" s="20" customFormat="1" ht="25.5">
      <c r="A509" s="27" t="s">
        <v>703</v>
      </c>
      <c r="B509" s="15" t="s">
        <v>63</v>
      </c>
      <c r="C509" s="27" t="s">
        <v>839</v>
      </c>
      <c r="D509" s="27" t="s">
        <v>478</v>
      </c>
      <c r="E509" s="25" t="s">
        <v>140</v>
      </c>
      <c r="F509" s="128" t="s">
        <v>1061</v>
      </c>
      <c r="G509" s="120">
        <v>913316</v>
      </c>
      <c r="H509" s="164">
        <f t="shared" si="5"/>
        <v>3.760034861975484</v>
      </c>
      <c r="I509" s="120">
        <f>878975</f>
        <v>878975</v>
      </c>
      <c r="J509" s="120">
        <f>873316-136166+136166</f>
        <v>873316</v>
      </c>
      <c r="K509" s="21"/>
      <c r="L509" s="122"/>
    </row>
    <row r="510" spans="1:12" s="20" customFormat="1" ht="25.5">
      <c r="A510" s="27" t="s">
        <v>703</v>
      </c>
      <c r="B510" s="15" t="s">
        <v>63</v>
      </c>
      <c r="C510" s="27" t="s">
        <v>839</v>
      </c>
      <c r="D510" s="27" t="s">
        <v>478</v>
      </c>
      <c r="E510" s="25" t="s">
        <v>140</v>
      </c>
      <c r="F510" s="128" t="s">
        <v>1063</v>
      </c>
      <c r="G510" s="120">
        <v>392029</v>
      </c>
      <c r="H510" s="164">
        <f t="shared" si="5"/>
        <v>4.664450844197759</v>
      </c>
      <c r="I510" s="120">
        <v>373743</v>
      </c>
      <c r="J510" s="120">
        <f>309220+12834</f>
        <v>322054</v>
      </c>
      <c r="K510" s="21"/>
      <c r="L510" s="122"/>
    </row>
    <row r="511" spans="1:12" s="20" customFormat="1" ht="25.5">
      <c r="A511" s="27" t="s">
        <v>703</v>
      </c>
      <c r="B511" s="15" t="s">
        <v>63</v>
      </c>
      <c r="C511" s="27" t="s">
        <v>839</v>
      </c>
      <c r="D511" s="27" t="s">
        <v>478</v>
      </c>
      <c r="E511" s="25" t="s">
        <v>140</v>
      </c>
      <c r="F511" s="128" t="s">
        <v>1075</v>
      </c>
      <c r="G511" s="120">
        <v>427343</v>
      </c>
      <c r="H511" s="164">
        <f t="shared" si="5"/>
        <v>4.635386563018457</v>
      </c>
      <c r="I511" s="120">
        <f>357343+50191</f>
        <v>407534</v>
      </c>
      <c r="J511" s="120">
        <f>357343-94844</f>
        <v>262499</v>
      </c>
      <c r="K511" s="21"/>
      <c r="L511" s="122"/>
    </row>
    <row r="512" spans="1:12" s="20" customFormat="1" ht="25.5">
      <c r="A512" s="27" t="s">
        <v>703</v>
      </c>
      <c r="B512" s="15" t="s">
        <v>63</v>
      </c>
      <c r="C512" s="27" t="s">
        <v>839</v>
      </c>
      <c r="D512" s="27" t="s">
        <v>478</v>
      </c>
      <c r="E512" s="25" t="s">
        <v>140</v>
      </c>
      <c r="F512" s="128" t="s">
        <v>1073</v>
      </c>
      <c r="G512" s="120">
        <v>298920</v>
      </c>
      <c r="H512" s="164">
        <f t="shared" si="5"/>
        <v>0</v>
      </c>
      <c r="I512" s="120">
        <v>298920</v>
      </c>
      <c r="J512" s="120">
        <v>298920</v>
      </c>
      <c r="K512" s="21"/>
      <c r="L512" s="122"/>
    </row>
    <row r="513" spans="1:12" s="20" customFormat="1" ht="25.5">
      <c r="A513" s="27" t="s">
        <v>703</v>
      </c>
      <c r="B513" s="15" t="s">
        <v>63</v>
      </c>
      <c r="C513" s="27" t="s">
        <v>839</v>
      </c>
      <c r="D513" s="27" t="s">
        <v>478</v>
      </c>
      <c r="E513" s="25" t="s">
        <v>140</v>
      </c>
      <c r="F513" s="128" t="s">
        <v>1164</v>
      </c>
      <c r="G513" s="120">
        <v>826004</v>
      </c>
      <c r="H513" s="164">
        <f t="shared" si="5"/>
        <v>0</v>
      </c>
      <c r="I513" s="120">
        <f>798157+27847</f>
        <v>826004</v>
      </c>
      <c r="J513" s="120">
        <v>798157</v>
      </c>
      <c r="K513" s="21"/>
      <c r="L513" s="122"/>
    </row>
    <row r="514" spans="1:12" s="20" customFormat="1" ht="38.25">
      <c r="A514" s="27" t="s">
        <v>703</v>
      </c>
      <c r="B514" s="15" t="s">
        <v>63</v>
      </c>
      <c r="C514" s="27" t="s">
        <v>839</v>
      </c>
      <c r="D514" s="27" t="s">
        <v>478</v>
      </c>
      <c r="E514" s="25" t="s">
        <v>140</v>
      </c>
      <c r="F514" s="128" t="s">
        <v>1064</v>
      </c>
      <c r="G514" s="120">
        <v>146638</v>
      </c>
      <c r="H514" s="164">
        <f t="shared" si="5"/>
        <v>0</v>
      </c>
      <c r="I514" s="120">
        <v>146638</v>
      </c>
      <c r="J514" s="120">
        <v>146638</v>
      </c>
      <c r="K514" s="21"/>
      <c r="L514" s="122"/>
    </row>
    <row r="515" spans="1:12" s="20" customFormat="1" ht="25.5">
      <c r="A515" s="27" t="s">
        <v>703</v>
      </c>
      <c r="B515" s="15" t="s">
        <v>63</v>
      </c>
      <c r="C515" s="27" t="s">
        <v>839</v>
      </c>
      <c r="D515" s="27" t="s">
        <v>478</v>
      </c>
      <c r="E515" s="25" t="s">
        <v>140</v>
      </c>
      <c r="F515" s="128" t="s">
        <v>1062</v>
      </c>
      <c r="G515" s="120">
        <v>178253</v>
      </c>
      <c r="H515" s="164">
        <f t="shared" si="5"/>
        <v>0</v>
      </c>
      <c r="I515" s="120">
        <v>178253</v>
      </c>
      <c r="J515" s="120">
        <v>178253</v>
      </c>
      <c r="K515" s="21"/>
      <c r="L515" s="122"/>
    </row>
    <row r="516" spans="1:12" s="20" customFormat="1" ht="25.5">
      <c r="A516" s="27" t="s">
        <v>703</v>
      </c>
      <c r="B516" s="15" t="s">
        <v>63</v>
      </c>
      <c r="C516" s="27" t="s">
        <v>839</v>
      </c>
      <c r="D516" s="27" t="s">
        <v>478</v>
      </c>
      <c r="E516" s="25" t="s">
        <v>140</v>
      </c>
      <c r="F516" s="128" t="s">
        <v>1065</v>
      </c>
      <c r="G516" s="120">
        <v>96804</v>
      </c>
      <c r="H516" s="164">
        <f aca="true" t="shared" si="8" ref="H516:H539">100-(I516/G516*100)</f>
        <v>0</v>
      </c>
      <c r="I516" s="120">
        <v>96804</v>
      </c>
      <c r="J516" s="120">
        <v>96804</v>
      </c>
      <c r="K516" s="21"/>
      <c r="L516" s="122"/>
    </row>
    <row r="517" spans="1:12" s="20" customFormat="1" ht="25.5">
      <c r="A517" s="27" t="s">
        <v>703</v>
      </c>
      <c r="B517" s="15" t="s">
        <v>63</v>
      </c>
      <c r="C517" s="27" t="s">
        <v>839</v>
      </c>
      <c r="D517" s="27" t="s">
        <v>478</v>
      </c>
      <c r="E517" s="25" t="s">
        <v>140</v>
      </c>
      <c r="F517" s="128" t="s">
        <v>1070</v>
      </c>
      <c r="G517" s="120">
        <v>3258835</v>
      </c>
      <c r="H517" s="164">
        <f t="shared" si="8"/>
        <v>0</v>
      </c>
      <c r="I517" s="120">
        <v>3258835</v>
      </c>
      <c r="J517" s="120">
        <v>3258835</v>
      </c>
      <c r="K517" s="21"/>
      <c r="L517" s="122"/>
    </row>
    <row r="518" spans="1:12" s="20" customFormat="1" ht="25.5">
      <c r="A518" s="27" t="s">
        <v>703</v>
      </c>
      <c r="B518" s="15" t="s">
        <v>63</v>
      </c>
      <c r="C518" s="27" t="s">
        <v>839</v>
      </c>
      <c r="D518" s="27" t="s">
        <v>478</v>
      </c>
      <c r="E518" s="25" t="s">
        <v>140</v>
      </c>
      <c r="F518" s="44" t="s">
        <v>1374</v>
      </c>
      <c r="G518" s="120">
        <v>1954150</v>
      </c>
      <c r="H518" s="164">
        <f t="shared" si="8"/>
        <v>0</v>
      </c>
      <c r="I518" s="120">
        <v>1954150</v>
      </c>
      <c r="J518" s="120">
        <v>1954150</v>
      </c>
      <c r="K518" s="21"/>
      <c r="L518" s="122"/>
    </row>
    <row r="519" spans="1:12" s="20" customFormat="1" ht="25.5">
      <c r="A519" s="27" t="s">
        <v>703</v>
      </c>
      <c r="B519" s="15" t="s">
        <v>63</v>
      </c>
      <c r="C519" s="27" t="s">
        <v>839</v>
      </c>
      <c r="D519" s="27" t="s">
        <v>478</v>
      </c>
      <c r="E519" s="25" t="s">
        <v>140</v>
      </c>
      <c r="F519" s="128" t="s">
        <v>1076</v>
      </c>
      <c r="G519" s="120">
        <v>130932</v>
      </c>
      <c r="H519" s="164">
        <f t="shared" si="8"/>
        <v>0</v>
      </c>
      <c r="I519" s="120">
        <v>130932</v>
      </c>
      <c r="J519" s="120">
        <v>130932</v>
      </c>
      <c r="K519" s="21"/>
      <c r="L519" s="122"/>
    </row>
    <row r="520" spans="1:12" s="20" customFormat="1" ht="25.5">
      <c r="A520" s="27" t="s">
        <v>703</v>
      </c>
      <c r="B520" s="15" t="s">
        <v>63</v>
      </c>
      <c r="C520" s="27" t="s">
        <v>839</v>
      </c>
      <c r="D520" s="27" t="s">
        <v>478</v>
      </c>
      <c r="E520" s="25" t="s">
        <v>140</v>
      </c>
      <c r="F520" s="128" t="s">
        <v>1077</v>
      </c>
      <c r="G520" s="120">
        <v>1268358</v>
      </c>
      <c r="H520" s="164">
        <f t="shared" si="8"/>
        <v>0</v>
      </c>
      <c r="I520" s="120">
        <v>1268358</v>
      </c>
      <c r="J520" s="120">
        <v>1268358</v>
      </c>
      <c r="K520" s="21"/>
      <c r="L520" s="122"/>
    </row>
    <row r="521" spans="1:12" s="20" customFormat="1" ht="25.5">
      <c r="A521" s="27" t="s">
        <v>703</v>
      </c>
      <c r="B521" s="15" t="s">
        <v>63</v>
      </c>
      <c r="C521" s="27" t="s">
        <v>839</v>
      </c>
      <c r="D521" s="27" t="s">
        <v>478</v>
      </c>
      <c r="E521" s="25" t="s">
        <v>140</v>
      </c>
      <c r="F521" s="128" t="s">
        <v>1078</v>
      </c>
      <c r="G521" s="120">
        <v>262439</v>
      </c>
      <c r="H521" s="164">
        <f t="shared" si="8"/>
        <v>0</v>
      </c>
      <c r="I521" s="120">
        <v>262439</v>
      </c>
      <c r="J521" s="120">
        <v>262439</v>
      </c>
      <c r="K521" s="21"/>
      <c r="L521" s="122"/>
    </row>
    <row r="522" spans="1:12" s="20" customFormat="1" ht="25.5">
      <c r="A522" s="27" t="s">
        <v>703</v>
      </c>
      <c r="B522" s="15" t="s">
        <v>63</v>
      </c>
      <c r="C522" s="27" t="s">
        <v>839</v>
      </c>
      <c r="D522" s="27" t="s">
        <v>478</v>
      </c>
      <c r="E522" s="25" t="s">
        <v>140</v>
      </c>
      <c r="F522" s="128" t="s">
        <v>1079</v>
      </c>
      <c r="G522" s="120">
        <v>724032</v>
      </c>
      <c r="H522" s="164">
        <f t="shared" si="8"/>
        <v>0</v>
      </c>
      <c r="I522" s="120">
        <v>724032</v>
      </c>
      <c r="J522" s="120">
        <v>724032</v>
      </c>
      <c r="K522" s="21"/>
      <c r="L522" s="122"/>
    </row>
    <row r="523" spans="1:12" s="20" customFormat="1" ht="25.5">
      <c r="A523" s="27" t="s">
        <v>703</v>
      </c>
      <c r="B523" s="15" t="s">
        <v>63</v>
      </c>
      <c r="C523" s="27" t="s">
        <v>839</v>
      </c>
      <c r="D523" s="27" t="s">
        <v>478</v>
      </c>
      <c r="E523" s="25" t="s">
        <v>140</v>
      </c>
      <c r="F523" s="128" t="s">
        <v>1071</v>
      </c>
      <c r="G523" s="120">
        <v>260623</v>
      </c>
      <c r="H523" s="164">
        <f t="shared" si="8"/>
        <v>0</v>
      </c>
      <c r="I523" s="120">
        <v>260623</v>
      </c>
      <c r="J523" s="120">
        <v>260623</v>
      </c>
      <c r="K523" s="21"/>
      <c r="L523" s="122"/>
    </row>
    <row r="524" spans="1:12" s="20" customFormat="1" ht="25.5">
      <c r="A524" s="27" t="s">
        <v>703</v>
      </c>
      <c r="B524" s="15" t="s">
        <v>63</v>
      </c>
      <c r="C524" s="27" t="s">
        <v>839</v>
      </c>
      <c r="D524" s="27" t="s">
        <v>478</v>
      </c>
      <c r="E524" s="25" t="s">
        <v>140</v>
      </c>
      <c r="F524" s="128" t="s">
        <v>1213</v>
      </c>
      <c r="G524" s="120">
        <v>129620</v>
      </c>
      <c r="H524" s="164">
        <f t="shared" si="8"/>
        <v>0</v>
      </c>
      <c r="I524" s="120">
        <v>129620</v>
      </c>
      <c r="J524" s="120">
        <v>129620</v>
      </c>
      <c r="K524" s="21"/>
      <c r="L524" s="122"/>
    </row>
    <row r="525" spans="1:12" s="20" customFormat="1" ht="25.5">
      <c r="A525" s="27" t="s">
        <v>703</v>
      </c>
      <c r="B525" s="15" t="s">
        <v>63</v>
      </c>
      <c r="C525" s="27" t="s">
        <v>839</v>
      </c>
      <c r="D525" s="27" t="s">
        <v>478</v>
      </c>
      <c r="E525" s="25" t="s">
        <v>140</v>
      </c>
      <c r="F525" s="128" t="s">
        <v>1214</v>
      </c>
      <c r="G525" s="120">
        <v>213265</v>
      </c>
      <c r="H525" s="164">
        <f t="shared" si="8"/>
        <v>0</v>
      </c>
      <c r="I525" s="120">
        <v>213265</v>
      </c>
      <c r="J525" s="120">
        <v>213265</v>
      </c>
      <c r="K525" s="21"/>
      <c r="L525" s="122"/>
    </row>
    <row r="526" spans="1:12" s="20" customFormat="1" ht="25.5">
      <c r="A526" s="27" t="s">
        <v>703</v>
      </c>
      <c r="B526" s="15" t="s">
        <v>63</v>
      </c>
      <c r="C526" s="27" t="s">
        <v>839</v>
      </c>
      <c r="D526" s="27" t="s">
        <v>478</v>
      </c>
      <c r="E526" s="25" t="s">
        <v>140</v>
      </c>
      <c r="F526" s="128" t="s">
        <v>1072</v>
      </c>
      <c r="G526" s="120">
        <v>141642</v>
      </c>
      <c r="H526" s="164">
        <f t="shared" si="8"/>
        <v>0</v>
      </c>
      <c r="I526" s="120">
        <v>141642</v>
      </c>
      <c r="J526" s="120">
        <v>141642</v>
      </c>
      <c r="K526" s="21"/>
      <c r="L526" s="122"/>
    </row>
    <row r="527" spans="1:12" s="20" customFormat="1" ht="25.5">
      <c r="A527" s="27" t="s">
        <v>703</v>
      </c>
      <c r="B527" s="15" t="s">
        <v>63</v>
      </c>
      <c r="C527" s="27" t="s">
        <v>839</v>
      </c>
      <c r="D527" s="27" t="s">
        <v>478</v>
      </c>
      <c r="E527" s="25" t="s">
        <v>140</v>
      </c>
      <c r="F527" s="128" t="s">
        <v>1066</v>
      </c>
      <c r="G527" s="120">
        <v>576439</v>
      </c>
      <c r="H527" s="164">
        <f t="shared" si="8"/>
        <v>0</v>
      </c>
      <c r="I527" s="120">
        <v>576439</v>
      </c>
      <c r="J527" s="120">
        <v>576439</v>
      </c>
      <c r="K527" s="21"/>
      <c r="L527" s="122"/>
    </row>
    <row r="528" spans="1:12" s="20" customFormat="1" ht="25.5">
      <c r="A528" s="27" t="s">
        <v>703</v>
      </c>
      <c r="B528" s="15" t="s">
        <v>63</v>
      </c>
      <c r="C528" s="27" t="s">
        <v>839</v>
      </c>
      <c r="D528" s="27" t="s">
        <v>478</v>
      </c>
      <c r="E528" s="25" t="s">
        <v>140</v>
      </c>
      <c r="F528" s="128" t="s">
        <v>1067</v>
      </c>
      <c r="G528" s="120">
        <v>197512</v>
      </c>
      <c r="H528" s="164">
        <f t="shared" si="8"/>
        <v>0</v>
      </c>
      <c r="I528" s="120">
        <v>197512</v>
      </c>
      <c r="J528" s="120">
        <f>2562635-1874425-490698</f>
        <v>197512</v>
      </c>
      <c r="K528" s="21"/>
      <c r="L528" s="122"/>
    </row>
    <row r="529" spans="1:12" s="20" customFormat="1" ht="25.5">
      <c r="A529" s="27" t="s">
        <v>703</v>
      </c>
      <c r="B529" s="15" t="s">
        <v>63</v>
      </c>
      <c r="C529" s="27" t="s">
        <v>839</v>
      </c>
      <c r="D529" s="27" t="s">
        <v>478</v>
      </c>
      <c r="E529" s="25" t="s">
        <v>140</v>
      </c>
      <c r="F529" s="128" t="s">
        <v>1068</v>
      </c>
      <c r="G529" s="120">
        <v>670704</v>
      </c>
      <c r="H529" s="164">
        <f t="shared" si="8"/>
        <v>0</v>
      </c>
      <c r="I529" s="120">
        <v>670704</v>
      </c>
      <c r="J529" s="120">
        <v>670704</v>
      </c>
      <c r="K529" s="21"/>
      <c r="L529" s="122"/>
    </row>
    <row r="530" spans="1:12" s="20" customFormat="1" ht="25.5">
      <c r="A530" s="27" t="s">
        <v>703</v>
      </c>
      <c r="B530" s="15" t="s">
        <v>63</v>
      </c>
      <c r="C530" s="27" t="s">
        <v>839</v>
      </c>
      <c r="D530" s="27" t="s">
        <v>478</v>
      </c>
      <c r="E530" s="25" t="s">
        <v>140</v>
      </c>
      <c r="F530" s="128" t="s">
        <v>1069</v>
      </c>
      <c r="G530" s="120">
        <v>4597934</v>
      </c>
      <c r="H530" s="164">
        <f t="shared" si="8"/>
        <v>0</v>
      </c>
      <c r="I530" s="120">
        <v>4597934</v>
      </c>
      <c r="J530" s="120">
        <v>4597934</v>
      </c>
      <c r="K530" s="21"/>
      <c r="L530" s="122"/>
    </row>
    <row r="531" spans="1:12" s="20" customFormat="1" ht="25.5">
      <c r="A531" s="27" t="s">
        <v>703</v>
      </c>
      <c r="B531" s="15" t="s">
        <v>63</v>
      </c>
      <c r="C531" s="27" t="s">
        <v>839</v>
      </c>
      <c r="D531" s="27" t="s">
        <v>478</v>
      </c>
      <c r="E531" s="25" t="s">
        <v>140</v>
      </c>
      <c r="F531" s="128" t="s">
        <v>1349</v>
      </c>
      <c r="G531" s="120">
        <v>1023383</v>
      </c>
      <c r="H531" s="164">
        <f t="shared" si="8"/>
        <v>3.508559356565428</v>
      </c>
      <c r="I531" s="120">
        <v>987477</v>
      </c>
      <c r="J531" s="120">
        <v>775057</v>
      </c>
      <c r="K531" s="21"/>
      <c r="L531" s="122"/>
    </row>
    <row r="532" spans="1:12" s="20" customFormat="1" ht="25.5">
      <c r="A532" s="27" t="s">
        <v>703</v>
      </c>
      <c r="B532" s="15" t="s">
        <v>63</v>
      </c>
      <c r="C532" s="27" t="s">
        <v>839</v>
      </c>
      <c r="D532" s="27" t="s">
        <v>478</v>
      </c>
      <c r="E532" s="25" t="s">
        <v>140</v>
      </c>
      <c r="F532" s="128" t="s">
        <v>1350</v>
      </c>
      <c r="G532" s="120">
        <v>484576</v>
      </c>
      <c r="H532" s="164">
        <f t="shared" si="8"/>
        <v>4.399722644126001</v>
      </c>
      <c r="I532" s="120">
        <v>463256</v>
      </c>
      <c r="J532" s="120">
        <v>268524</v>
      </c>
      <c r="K532" s="21"/>
      <c r="L532" s="122"/>
    </row>
    <row r="533" spans="1:12" s="20" customFormat="1" ht="25.5">
      <c r="A533" s="27" t="s">
        <v>703</v>
      </c>
      <c r="B533" s="15" t="s">
        <v>63</v>
      </c>
      <c r="C533" s="27" t="s">
        <v>839</v>
      </c>
      <c r="D533" s="27" t="s">
        <v>478</v>
      </c>
      <c r="E533" s="25" t="s">
        <v>140</v>
      </c>
      <c r="F533" s="128" t="s">
        <v>1351</v>
      </c>
      <c r="G533" s="120">
        <v>459890</v>
      </c>
      <c r="H533" s="164">
        <f t="shared" si="8"/>
        <v>6.117549848876905</v>
      </c>
      <c r="I533" s="120">
        <v>431756</v>
      </c>
      <c r="J533" s="120">
        <v>311988</v>
      </c>
      <c r="K533" s="21"/>
      <c r="L533" s="122"/>
    </row>
    <row r="534" spans="1:12" s="20" customFormat="1" ht="25.5">
      <c r="A534" s="27" t="s">
        <v>703</v>
      </c>
      <c r="B534" s="15" t="s">
        <v>63</v>
      </c>
      <c r="C534" s="27" t="s">
        <v>839</v>
      </c>
      <c r="D534" s="27" t="s">
        <v>478</v>
      </c>
      <c r="E534" s="25" t="s">
        <v>140</v>
      </c>
      <c r="F534" s="44" t="s">
        <v>1244</v>
      </c>
      <c r="G534" s="120">
        <v>594102</v>
      </c>
      <c r="H534" s="164">
        <f t="shared" si="8"/>
        <v>9.879448310222827</v>
      </c>
      <c r="I534" s="120">
        <v>535408</v>
      </c>
      <c r="J534" s="120">
        <v>535408</v>
      </c>
      <c r="K534" s="21"/>
      <c r="L534" s="122"/>
    </row>
    <row r="535" spans="1:12" s="20" customFormat="1" ht="25.5">
      <c r="A535" s="27" t="s">
        <v>703</v>
      </c>
      <c r="B535" s="15" t="s">
        <v>63</v>
      </c>
      <c r="C535" s="27" t="s">
        <v>839</v>
      </c>
      <c r="D535" s="27" t="s">
        <v>478</v>
      </c>
      <c r="E535" s="25" t="s">
        <v>140</v>
      </c>
      <c r="F535" s="128" t="s">
        <v>1080</v>
      </c>
      <c r="G535" s="120">
        <v>265824</v>
      </c>
      <c r="H535" s="164">
        <f t="shared" si="8"/>
        <v>0</v>
      </c>
      <c r="I535" s="120">
        <v>265824</v>
      </c>
      <c r="J535" s="120">
        <v>265824</v>
      </c>
      <c r="K535" s="21"/>
      <c r="L535" s="122"/>
    </row>
    <row r="536" spans="1:12" s="20" customFormat="1" ht="25.5">
      <c r="A536" s="27" t="s">
        <v>703</v>
      </c>
      <c r="B536" s="15" t="s">
        <v>63</v>
      </c>
      <c r="C536" s="27" t="s">
        <v>839</v>
      </c>
      <c r="D536" s="27" t="s">
        <v>478</v>
      </c>
      <c r="E536" s="25" t="s">
        <v>140</v>
      </c>
      <c r="F536" s="128" t="s">
        <v>1081</v>
      </c>
      <c r="G536" s="120">
        <v>320806</v>
      </c>
      <c r="H536" s="164">
        <f t="shared" si="8"/>
        <v>0</v>
      </c>
      <c r="I536" s="120">
        <v>320806</v>
      </c>
      <c r="J536" s="120">
        <v>320806</v>
      </c>
      <c r="K536" s="21"/>
      <c r="L536" s="122"/>
    </row>
    <row r="537" spans="1:12" s="20" customFormat="1" ht="25.5">
      <c r="A537" s="27" t="s">
        <v>703</v>
      </c>
      <c r="B537" s="15" t="s">
        <v>63</v>
      </c>
      <c r="C537" s="27" t="s">
        <v>839</v>
      </c>
      <c r="D537" s="27" t="s">
        <v>478</v>
      </c>
      <c r="E537" s="25" t="s">
        <v>140</v>
      </c>
      <c r="F537" s="128" t="s">
        <v>1082</v>
      </c>
      <c r="G537" s="120">
        <v>541280</v>
      </c>
      <c r="H537" s="164">
        <f t="shared" si="8"/>
        <v>0</v>
      </c>
      <c r="I537" s="120">
        <v>541280</v>
      </c>
      <c r="J537" s="120">
        <f>439229+102051</f>
        <v>541280</v>
      </c>
      <c r="K537" s="21"/>
      <c r="L537" s="122"/>
    </row>
    <row r="538" spans="1:12" s="20" customFormat="1" ht="25.5">
      <c r="A538" s="27" t="s">
        <v>703</v>
      </c>
      <c r="B538" s="15" t="s">
        <v>63</v>
      </c>
      <c r="C538" s="27" t="s">
        <v>839</v>
      </c>
      <c r="D538" s="27" t="s">
        <v>478</v>
      </c>
      <c r="E538" s="25" t="s">
        <v>140</v>
      </c>
      <c r="F538" s="128" t="s">
        <v>1083</v>
      </c>
      <c r="G538" s="120">
        <v>268800</v>
      </c>
      <c r="H538" s="164">
        <f t="shared" si="8"/>
        <v>0</v>
      </c>
      <c r="I538" s="120">
        <v>268800</v>
      </c>
      <c r="J538" s="120">
        <f>235052+33748</f>
        <v>268800</v>
      </c>
      <c r="K538" s="21"/>
      <c r="L538" s="122"/>
    </row>
    <row r="539" spans="1:12" s="20" customFormat="1" ht="38.25">
      <c r="A539" s="27" t="s">
        <v>703</v>
      </c>
      <c r="B539" s="15" t="s">
        <v>63</v>
      </c>
      <c r="C539" s="27" t="s">
        <v>839</v>
      </c>
      <c r="D539" s="27" t="s">
        <v>478</v>
      </c>
      <c r="E539" s="25" t="s">
        <v>140</v>
      </c>
      <c r="F539" s="44" t="s">
        <v>1364</v>
      </c>
      <c r="G539" s="120">
        <v>31462</v>
      </c>
      <c r="H539" s="164">
        <f t="shared" si="8"/>
        <v>0</v>
      </c>
      <c r="I539" s="120">
        <v>31462</v>
      </c>
      <c r="J539" s="120">
        <v>31462</v>
      </c>
      <c r="K539" s="21"/>
      <c r="L539" s="122"/>
    </row>
    <row r="540" spans="1:12" s="20" customFormat="1" ht="12.75" hidden="1">
      <c r="A540" s="27"/>
      <c r="B540" s="15"/>
      <c r="C540" s="27"/>
      <c r="D540" s="27"/>
      <c r="E540" s="25"/>
      <c r="F540" s="44"/>
      <c r="G540" s="120"/>
      <c r="H540" s="164"/>
      <c r="I540" s="120"/>
      <c r="J540" s="120"/>
      <c r="K540" s="21"/>
      <c r="L540" s="122"/>
    </row>
    <row r="541" spans="1:12" s="138" customFormat="1" ht="25.5">
      <c r="A541" s="27" t="s">
        <v>703</v>
      </c>
      <c r="B541" s="15" t="s">
        <v>63</v>
      </c>
      <c r="C541" s="27" t="s">
        <v>839</v>
      </c>
      <c r="D541" s="27" t="s">
        <v>478</v>
      </c>
      <c r="E541" s="25" t="s">
        <v>140</v>
      </c>
      <c r="F541" s="135" t="s">
        <v>1200</v>
      </c>
      <c r="G541" s="120">
        <v>22363936</v>
      </c>
      <c r="H541" s="164">
        <f aca="true" t="shared" si="9" ref="H541:H563">100-(I541/G541*100)</f>
        <v>7.554327646081617</v>
      </c>
      <c r="I541" s="120">
        <v>20674491</v>
      </c>
      <c r="J541" s="120">
        <f>1000000-700000</f>
        <v>300000</v>
      </c>
      <c r="K541" s="136">
        <f>J541+J544+J545+J546+J547+J548+J549+J551+J552+J553+J554+J555+J556+J557+J558+J559+J560+J561+J562+J563+J543</f>
        <v>33589043</v>
      </c>
      <c r="L541" s="137"/>
    </row>
    <row r="542" spans="1:12" s="204" customFormat="1" ht="30" customHeight="1" hidden="1">
      <c r="A542" s="57" t="s">
        <v>703</v>
      </c>
      <c r="B542" s="57" t="s">
        <v>63</v>
      </c>
      <c r="C542" s="57" t="s">
        <v>839</v>
      </c>
      <c r="D542" s="57" t="s">
        <v>478</v>
      </c>
      <c r="E542" s="58" t="s">
        <v>140</v>
      </c>
      <c r="F542" s="196" t="s">
        <v>1342</v>
      </c>
      <c r="G542" s="197"/>
      <c r="H542" s="198" t="e">
        <f t="shared" si="9"/>
        <v>#DIV/0!</v>
      </c>
      <c r="I542" s="197"/>
      <c r="J542" s="197">
        <f>209076-209076</f>
        <v>0</v>
      </c>
      <c r="K542" s="202"/>
      <c r="L542" s="203"/>
    </row>
    <row r="543" spans="1:12" s="138" customFormat="1" ht="25.5">
      <c r="A543" s="27" t="s">
        <v>703</v>
      </c>
      <c r="B543" s="15" t="s">
        <v>63</v>
      </c>
      <c r="C543" s="27" t="s">
        <v>839</v>
      </c>
      <c r="D543" s="27" t="s">
        <v>478</v>
      </c>
      <c r="E543" s="25" t="s">
        <v>140</v>
      </c>
      <c r="F543" s="139" t="s">
        <v>1201</v>
      </c>
      <c r="G543" s="120">
        <v>200000</v>
      </c>
      <c r="H543" s="164">
        <f t="shared" si="9"/>
        <v>0</v>
      </c>
      <c r="I543" s="120">
        <v>200000</v>
      </c>
      <c r="J543" s="120">
        <v>200000</v>
      </c>
      <c r="K543" s="136"/>
      <c r="L543" s="137"/>
    </row>
    <row r="544" spans="1:12" s="138" customFormat="1" ht="25.5">
      <c r="A544" s="27" t="s">
        <v>703</v>
      </c>
      <c r="B544" s="15" t="s">
        <v>63</v>
      </c>
      <c r="C544" s="27" t="s">
        <v>839</v>
      </c>
      <c r="D544" s="27" t="s">
        <v>478</v>
      </c>
      <c r="E544" s="25" t="s">
        <v>140</v>
      </c>
      <c r="F544" s="135" t="s">
        <v>1202</v>
      </c>
      <c r="G544" s="120">
        <v>367114</v>
      </c>
      <c r="H544" s="164">
        <f t="shared" si="9"/>
        <v>84.24549322553757</v>
      </c>
      <c r="I544" s="120">
        <f>G544-319277+10000</f>
        <v>57837</v>
      </c>
      <c r="J544" s="120">
        <v>47837</v>
      </c>
      <c r="L544" s="137"/>
    </row>
    <row r="545" spans="1:12" s="20" customFormat="1" ht="38.25">
      <c r="A545" s="27" t="s">
        <v>703</v>
      </c>
      <c r="B545" s="15" t="s">
        <v>63</v>
      </c>
      <c r="C545" s="27" t="s">
        <v>839</v>
      </c>
      <c r="D545" s="27" t="s">
        <v>478</v>
      </c>
      <c r="E545" s="25" t="s">
        <v>140</v>
      </c>
      <c r="F545" s="139" t="s">
        <v>1215</v>
      </c>
      <c r="G545" s="120">
        <v>1494110</v>
      </c>
      <c r="H545" s="164">
        <f t="shared" si="9"/>
        <v>0</v>
      </c>
      <c r="I545" s="120">
        <v>1494110</v>
      </c>
      <c r="J545" s="120">
        <f>965760+528350</f>
        <v>1494110</v>
      </c>
      <c r="K545" s="21"/>
      <c r="L545" s="122"/>
    </row>
    <row r="546" spans="1:12" s="20" customFormat="1" ht="25.5">
      <c r="A546" s="27" t="s">
        <v>703</v>
      </c>
      <c r="B546" s="15" t="s">
        <v>63</v>
      </c>
      <c r="C546" s="27" t="s">
        <v>839</v>
      </c>
      <c r="D546" s="27" t="s">
        <v>478</v>
      </c>
      <c r="E546" s="25" t="s">
        <v>140</v>
      </c>
      <c r="F546" s="139" t="s">
        <v>1216</v>
      </c>
      <c r="G546" s="120">
        <v>1100000</v>
      </c>
      <c r="H546" s="164">
        <f t="shared" si="9"/>
        <v>0</v>
      </c>
      <c r="I546" s="120">
        <v>1100000</v>
      </c>
      <c r="J546" s="120">
        <v>1100000</v>
      </c>
      <c r="K546" s="21"/>
      <c r="L546" s="122"/>
    </row>
    <row r="547" spans="1:12" s="20" customFormat="1" ht="25.5">
      <c r="A547" s="27" t="s">
        <v>703</v>
      </c>
      <c r="B547" s="15" t="s">
        <v>63</v>
      </c>
      <c r="C547" s="27" t="s">
        <v>839</v>
      </c>
      <c r="D547" s="27" t="s">
        <v>478</v>
      </c>
      <c r="E547" s="25" t="s">
        <v>140</v>
      </c>
      <c r="F547" s="135" t="s">
        <v>1329</v>
      </c>
      <c r="G547" s="120">
        <v>3106285</v>
      </c>
      <c r="H547" s="164">
        <f t="shared" si="9"/>
        <v>1.3700932142414501</v>
      </c>
      <c r="I547" s="120">
        <f>3090204-26478</f>
        <v>3063726</v>
      </c>
      <c r="J547" s="120">
        <v>530926</v>
      </c>
      <c r="K547" s="21"/>
      <c r="L547" s="122"/>
    </row>
    <row r="548" spans="1:12" s="20" customFormat="1" ht="25.5">
      <c r="A548" s="27" t="s">
        <v>703</v>
      </c>
      <c r="B548" s="15" t="s">
        <v>63</v>
      </c>
      <c r="C548" s="27" t="s">
        <v>839</v>
      </c>
      <c r="D548" s="27" t="s">
        <v>478</v>
      </c>
      <c r="E548" s="25" t="s">
        <v>140</v>
      </c>
      <c r="F548" s="135" t="s">
        <v>1330</v>
      </c>
      <c r="G548" s="120">
        <v>400274</v>
      </c>
      <c r="H548" s="164">
        <f t="shared" si="9"/>
        <v>1.4220259122501204</v>
      </c>
      <c r="I548" s="120">
        <f>G548-108000+102308</f>
        <v>394582</v>
      </c>
      <c r="J548" s="120">
        <v>292274</v>
      </c>
      <c r="K548" s="21"/>
      <c r="L548" s="122"/>
    </row>
    <row r="549" spans="1:12" s="20" customFormat="1" ht="25.5">
      <c r="A549" s="27" t="s">
        <v>703</v>
      </c>
      <c r="B549" s="15" t="s">
        <v>63</v>
      </c>
      <c r="C549" s="27" t="s">
        <v>839</v>
      </c>
      <c r="D549" s="27" t="s">
        <v>478</v>
      </c>
      <c r="E549" s="25" t="s">
        <v>140</v>
      </c>
      <c r="F549" s="139" t="s">
        <v>1203</v>
      </c>
      <c r="G549" s="120">
        <v>4147610</v>
      </c>
      <c r="H549" s="164">
        <f t="shared" si="9"/>
        <v>0</v>
      </c>
      <c r="I549" s="120">
        <f>4067610+80000</f>
        <v>4147610</v>
      </c>
      <c r="J549" s="120">
        <v>400000</v>
      </c>
      <c r="K549" s="21"/>
      <c r="L549" s="122"/>
    </row>
    <row r="550" spans="1:12" s="20" customFormat="1" ht="25.5">
      <c r="A550" s="27" t="s">
        <v>703</v>
      </c>
      <c r="B550" s="15" t="s">
        <v>63</v>
      </c>
      <c r="C550" s="27" t="s">
        <v>839</v>
      </c>
      <c r="D550" s="27" t="s">
        <v>478</v>
      </c>
      <c r="E550" s="25" t="s">
        <v>140</v>
      </c>
      <c r="F550" s="135" t="s">
        <v>1319</v>
      </c>
      <c r="G550" s="120">
        <v>1731354</v>
      </c>
      <c r="H550" s="164">
        <f t="shared" si="9"/>
        <v>81.2860916947083</v>
      </c>
      <c r="I550" s="120">
        <v>324004</v>
      </c>
      <c r="J550" s="120">
        <v>50000</v>
      </c>
      <c r="K550" s="21"/>
      <c r="L550" s="122"/>
    </row>
    <row r="551" spans="1:12" s="20" customFormat="1" ht="38.25">
      <c r="A551" s="27" t="s">
        <v>703</v>
      </c>
      <c r="B551" s="15" t="s">
        <v>63</v>
      </c>
      <c r="C551" s="27" t="s">
        <v>839</v>
      </c>
      <c r="D551" s="27" t="s">
        <v>478</v>
      </c>
      <c r="E551" s="25" t="s">
        <v>140</v>
      </c>
      <c r="F551" s="139" t="s">
        <v>1084</v>
      </c>
      <c r="G551" s="120">
        <v>1800000</v>
      </c>
      <c r="H551" s="164">
        <f t="shared" si="9"/>
        <v>13.175333333333327</v>
      </c>
      <c r="I551" s="120">
        <f>1538103+24741</f>
        <v>1562844</v>
      </c>
      <c r="J551" s="120">
        <f>1538103-1260000</f>
        <v>278103</v>
      </c>
      <c r="K551" s="21"/>
      <c r="L551" s="122"/>
    </row>
    <row r="552" spans="1:12" s="20" customFormat="1" ht="25.5">
      <c r="A552" s="27" t="s">
        <v>703</v>
      </c>
      <c r="B552" s="15" t="s">
        <v>63</v>
      </c>
      <c r="C552" s="27" t="s">
        <v>839</v>
      </c>
      <c r="D552" s="27" t="s">
        <v>478</v>
      </c>
      <c r="E552" s="25" t="s">
        <v>140</v>
      </c>
      <c r="F552" s="139" t="s">
        <v>1217</v>
      </c>
      <c r="G552" s="120">
        <v>6000000</v>
      </c>
      <c r="H552" s="164">
        <f t="shared" si="9"/>
        <v>2.736866666666671</v>
      </c>
      <c r="I552" s="120">
        <f>5800000+35788</f>
        <v>5835788</v>
      </c>
      <c r="J552" s="120">
        <f>5800000-5791125+4262</f>
        <v>13137</v>
      </c>
      <c r="K552" s="21"/>
      <c r="L552" s="122"/>
    </row>
    <row r="553" spans="1:12" s="20" customFormat="1" ht="25.5">
      <c r="A553" s="27" t="s">
        <v>703</v>
      </c>
      <c r="B553" s="15" t="s">
        <v>63</v>
      </c>
      <c r="C553" s="27" t="s">
        <v>839</v>
      </c>
      <c r="D553" s="27" t="s">
        <v>478</v>
      </c>
      <c r="E553" s="25" t="s">
        <v>140</v>
      </c>
      <c r="F553" s="139" t="s">
        <v>1085</v>
      </c>
      <c r="G553" s="120">
        <v>6061200</v>
      </c>
      <c r="H553" s="164">
        <f t="shared" si="9"/>
        <v>5.643387448030097</v>
      </c>
      <c r="I553" s="120">
        <f>3706280+2012863</f>
        <v>5719143</v>
      </c>
      <c r="J553" s="120">
        <v>2342793</v>
      </c>
      <c r="K553" s="21"/>
      <c r="L553" s="122"/>
    </row>
    <row r="554" spans="1:12" s="20" customFormat="1" ht="25.5" hidden="1">
      <c r="A554" s="27" t="s">
        <v>703</v>
      </c>
      <c r="B554" s="15" t="s">
        <v>63</v>
      </c>
      <c r="C554" s="27" t="s">
        <v>839</v>
      </c>
      <c r="D554" s="27" t="s">
        <v>478</v>
      </c>
      <c r="E554" s="25" t="s">
        <v>140</v>
      </c>
      <c r="F554" s="139" t="s">
        <v>1086</v>
      </c>
      <c r="G554" s="120"/>
      <c r="H554" s="164" t="e">
        <f t="shared" si="9"/>
        <v>#DIV/0!</v>
      </c>
      <c r="I554" s="120"/>
      <c r="J554" s="120">
        <f>2000000-535408-1464592</f>
        <v>0</v>
      </c>
      <c r="K554" s="21"/>
      <c r="L554" s="122"/>
    </row>
    <row r="555" spans="1:12" s="20" customFormat="1" ht="25.5">
      <c r="A555" s="27" t="s">
        <v>703</v>
      </c>
      <c r="B555" s="15" t="s">
        <v>63</v>
      </c>
      <c r="C555" s="27" t="s">
        <v>839</v>
      </c>
      <c r="D555" s="27" t="s">
        <v>478</v>
      </c>
      <c r="E555" s="25" t="s">
        <v>140</v>
      </c>
      <c r="F555" s="135" t="s">
        <v>1204</v>
      </c>
      <c r="G555" s="120">
        <v>178080830</v>
      </c>
      <c r="H555" s="164">
        <f t="shared" si="9"/>
        <v>39.33273222053154</v>
      </c>
      <c r="I555" s="120">
        <v>108036774</v>
      </c>
      <c r="J555" s="120">
        <v>10000000</v>
      </c>
      <c r="K555" s="21"/>
      <c r="L555" s="122"/>
    </row>
    <row r="556" spans="1:12" s="20" customFormat="1" ht="25.5">
      <c r="A556" s="27" t="s">
        <v>703</v>
      </c>
      <c r="B556" s="15" t="s">
        <v>63</v>
      </c>
      <c r="C556" s="27" t="s">
        <v>839</v>
      </c>
      <c r="D556" s="27" t="s">
        <v>478</v>
      </c>
      <c r="E556" s="25" t="s">
        <v>140</v>
      </c>
      <c r="F556" s="139" t="s">
        <v>1205</v>
      </c>
      <c r="G556" s="120">
        <v>28228920</v>
      </c>
      <c r="H556" s="164">
        <f t="shared" si="9"/>
        <v>13.223028015241113</v>
      </c>
      <c r="I556" s="120">
        <v>24496202</v>
      </c>
      <c r="J556" s="120">
        <f>4500000+5229515</f>
        <v>9729515</v>
      </c>
      <c r="K556" s="21"/>
      <c r="L556" s="122"/>
    </row>
    <row r="557" spans="1:12" s="20" customFormat="1" ht="25.5">
      <c r="A557" s="27" t="s">
        <v>703</v>
      </c>
      <c r="B557" s="15" t="s">
        <v>63</v>
      </c>
      <c r="C557" s="27" t="s">
        <v>839</v>
      </c>
      <c r="D557" s="27" t="s">
        <v>478</v>
      </c>
      <c r="E557" s="25" t="s">
        <v>140</v>
      </c>
      <c r="F557" s="135" t="s">
        <v>1087</v>
      </c>
      <c r="G557" s="120">
        <v>13521674</v>
      </c>
      <c r="H557" s="164">
        <f t="shared" si="9"/>
        <v>44.64037514881664</v>
      </c>
      <c r="I557" s="120">
        <f>4963487+2522061</f>
        <v>7485548</v>
      </c>
      <c r="J557" s="120">
        <v>4963487</v>
      </c>
      <c r="K557" s="21"/>
      <c r="L557" s="122"/>
    </row>
    <row r="558" spans="1:12" s="20" customFormat="1" ht="25.5">
      <c r="A558" s="27" t="s">
        <v>703</v>
      </c>
      <c r="B558" s="15" t="s">
        <v>63</v>
      </c>
      <c r="C558" s="27" t="s">
        <v>839</v>
      </c>
      <c r="D558" s="27" t="s">
        <v>478</v>
      </c>
      <c r="E558" s="25" t="s">
        <v>140</v>
      </c>
      <c r="F558" s="139" t="s">
        <v>1088</v>
      </c>
      <c r="G558" s="120">
        <v>23659452</v>
      </c>
      <c r="H558" s="164">
        <f t="shared" si="9"/>
        <v>2.073395444662026</v>
      </c>
      <c r="I558" s="120">
        <f>23081621+87277</f>
        <v>23168898</v>
      </c>
      <c r="J558" s="120">
        <f>2000000-1612519</f>
        <v>387481</v>
      </c>
      <c r="K558" s="21"/>
      <c r="L558" s="122"/>
    </row>
    <row r="559" spans="1:12" s="20" customFormat="1" ht="25.5">
      <c r="A559" s="27" t="s">
        <v>703</v>
      </c>
      <c r="B559" s="15" t="s">
        <v>63</v>
      </c>
      <c r="C559" s="27" t="s">
        <v>839</v>
      </c>
      <c r="D559" s="27" t="s">
        <v>478</v>
      </c>
      <c r="E559" s="25" t="s">
        <v>140</v>
      </c>
      <c r="F559" s="139" t="s">
        <v>1206</v>
      </c>
      <c r="G559" s="120">
        <v>4533347</v>
      </c>
      <c r="H559" s="164">
        <f t="shared" si="9"/>
        <v>3.521724677153543</v>
      </c>
      <c r="I559" s="120">
        <f>4366806+6889</f>
        <v>4373695</v>
      </c>
      <c r="J559" s="120">
        <f>1800000-1798146</f>
        <v>1854</v>
      </c>
      <c r="K559" s="21"/>
      <c r="L559" s="122"/>
    </row>
    <row r="560" spans="1:12" s="20" customFormat="1" ht="25.5">
      <c r="A560" s="27" t="s">
        <v>703</v>
      </c>
      <c r="B560" s="15" t="s">
        <v>63</v>
      </c>
      <c r="C560" s="27" t="s">
        <v>839</v>
      </c>
      <c r="D560" s="27" t="s">
        <v>478</v>
      </c>
      <c r="E560" s="25" t="s">
        <v>140</v>
      </c>
      <c r="F560" s="139" t="s">
        <v>1089</v>
      </c>
      <c r="G560" s="120">
        <v>4331035</v>
      </c>
      <c r="H560" s="164">
        <f>100-(I560/G560*100)</f>
        <v>3.0020999599402955</v>
      </c>
      <c r="I560" s="120">
        <f>4141035+59978</f>
        <v>4201013</v>
      </c>
      <c r="J560" s="120">
        <f>800000-750000</f>
        <v>50000</v>
      </c>
      <c r="K560" s="21"/>
      <c r="L560" s="122"/>
    </row>
    <row r="561" spans="1:12" s="20" customFormat="1" ht="25.5" hidden="1">
      <c r="A561" s="27" t="s">
        <v>703</v>
      </c>
      <c r="B561" s="15" t="s">
        <v>63</v>
      </c>
      <c r="C561" s="27" t="s">
        <v>839</v>
      </c>
      <c r="D561" s="27" t="s">
        <v>478</v>
      </c>
      <c r="E561" s="25" t="s">
        <v>140</v>
      </c>
      <c r="F561" s="135" t="s">
        <v>1090</v>
      </c>
      <c r="G561" s="120"/>
      <c r="H561" s="164" t="e">
        <f>100-(I561/G561*100)</f>
        <v>#DIV/0!</v>
      </c>
      <c r="I561" s="120"/>
      <c r="J561" s="120">
        <f>2000000-2000000</f>
        <v>0</v>
      </c>
      <c r="K561" s="21"/>
      <c r="L561" s="122"/>
    </row>
    <row r="562" spans="1:12" s="20" customFormat="1" ht="25.5">
      <c r="A562" s="27" t="s">
        <v>703</v>
      </c>
      <c r="B562" s="15" t="s">
        <v>63</v>
      </c>
      <c r="C562" s="27" t="s">
        <v>839</v>
      </c>
      <c r="D562" s="27" t="s">
        <v>478</v>
      </c>
      <c r="E562" s="25" t="s">
        <v>140</v>
      </c>
      <c r="F562" s="139" t="s">
        <v>1207</v>
      </c>
      <c r="G562" s="120">
        <v>16251426</v>
      </c>
      <c r="H562" s="164">
        <f t="shared" si="9"/>
        <v>3.2426569828395344</v>
      </c>
      <c r="I562" s="120">
        <v>15724448</v>
      </c>
      <c r="J562" s="131">
        <f>1550000-1190000</f>
        <v>360000</v>
      </c>
      <c r="K562" s="21"/>
      <c r="L562" s="122"/>
    </row>
    <row r="563" spans="1:12" s="20" customFormat="1" ht="25.5">
      <c r="A563" s="27" t="s">
        <v>703</v>
      </c>
      <c r="B563" s="15" t="s">
        <v>63</v>
      </c>
      <c r="C563" s="27" t="s">
        <v>839</v>
      </c>
      <c r="D563" s="27" t="s">
        <v>478</v>
      </c>
      <c r="E563" s="25" t="s">
        <v>140</v>
      </c>
      <c r="F563" s="139" t="s">
        <v>1208</v>
      </c>
      <c r="G563" s="120">
        <f>1220465</f>
        <v>1220465</v>
      </c>
      <c r="H563" s="164">
        <f t="shared" si="9"/>
        <v>10.073127865198913</v>
      </c>
      <c r="I563" s="120">
        <f>1097526</f>
        <v>1097526</v>
      </c>
      <c r="J563" s="131">
        <f>1219870-122344</f>
        <v>1097526</v>
      </c>
      <c r="K563" s="21"/>
      <c r="L563" s="122"/>
    </row>
    <row r="564" spans="1:12" ht="25.5" customHeight="1">
      <c r="A564" s="62" t="s">
        <v>704</v>
      </c>
      <c r="B564" s="62" t="s">
        <v>544</v>
      </c>
      <c r="C564" s="62" t="s">
        <v>944</v>
      </c>
      <c r="D564" s="62"/>
      <c r="E564" s="63" t="s">
        <v>565</v>
      </c>
      <c r="F564" s="98"/>
      <c r="G564" s="120"/>
      <c r="H564" s="165"/>
      <c r="I564" s="120"/>
      <c r="J564" s="120">
        <f>J565</f>
        <v>180788070</v>
      </c>
      <c r="L564" s="122"/>
    </row>
    <row r="565" spans="1:12" ht="25.5" customHeight="1">
      <c r="A565" s="77" t="s">
        <v>705</v>
      </c>
      <c r="B565" s="77">
        <v>170703</v>
      </c>
      <c r="C565" s="77" t="s">
        <v>945</v>
      </c>
      <c r="D565" s="77" t="s">
        <v>510</v>
      </c>
      <c r="E565" s="140" t="s">
        <v>365</v>
      </c>
      <c r="F565" s="142"/>
      <c r="G565" s="151">
        <f>SUM(G566:G591)</f>
        <v>5183921899</v>
      </c>
      <c r="H565" s="163"/>
      <c r="I565" s="151">
        <f>SUM(I566:I591)</f>
        <v>2360870652</v>
      </c>
      <c r="J565" s="151">
        <f>'[1]Місто'!$P$349</f>
        <v>180788070</v>
      </c>
      <c r="L565" s="122"/>
    </row>
    <row r="566" spans="1:12" ht="25.5" customHeight="1">
      <c r="A566" s="15" t="s">
        <v>705</v>
      </c>
      <c r="B566" s="15">
        <v>170703</v>
      </c>
      <c r="C566" s="27" t="s">
        <v>945</v>
      </c>
      <c r="D566" s="27" t="s">
        <v>510</v>
      </c>
      <c r="E566" s="25" t="s">
        <v>365</v>
      </c>
      <c r="F566" s="25" t="s">
        <v>1337</v>
      </c>
      <c r="G566" s="120">
        <v>12748462</v>
      </c>
      <c r="H566" s="164">
        <f aca="true" t="shared" si="10" ref="H566:H590">100-(I566/G566*100)</f>
        <v>0.9452983426549793</v>
      </c>
      <c r="I566" s="120">
        <v>12627951</v>
      </c>
      <c r="J566" s="131">
        <f>12748462-120511</f>
        <v>12627951</v>
      </c>
      <c r="K566" s="132"/>
      <c r="L566" s="133"/>
    </row>
    <row r="567" spans="1:12" ht="25.5" customHeight="1">
      <c r="A567" s="15" t="s">
        <v>705</v>
      </c>
      <c r="B567" s="15">
        <v>170703</v>
      </c>
      <c r="C567" s="27" t="s">
        <v>945</v>
      </c>
      <c r="D567" s="27" t="s">
        <v>510</v>
      </c>
      <c r="E567" s="25" t="s">
        <v>365</v>
      </c>
      <c r="F567" s="14" t="s">
        <v>1218</v>
      </c>
      <c r="G567" s="120">
        <v>2432351</v>
      </c>
      <c r="H567" s="164">
        <f t="shared" si="10"/>
        <v>0</v>
      </c>
      <c r="I567" s="120">
        <v>2432351</v>
      </c>
      <c r="J567" s="131">
        <v>2432351</v>
      </c>
      <c r="K567" s="132"/>
      <c r="L567" s="134"/>
    </row>
    <row r="568" spans="1:12" ht="40.5" customHeight="1">
      <c r="A568" s="15" t="s">
        <v>705</v>
      </c>
      <c r="B568" s="15">
        <v>170703</v>
      </c>
      <c r="C568" s="27" t="s">
        <v>945</v>
      </c>
      <c r="D568" s="27" t="s">
        <v>510</v>
      </c>
      <c r="E568" s="25" t="s">
        <v>365</v>
      </c>
      <c r="F568" s="14" t="s">
        <v>1219</v>
      </c>
      <c r="G568" s="120">
        <v>1608943</v>
      </c>
      <c r="H568" s="164">
        <f t="shared" si="10"/>
        <v>0</v>
      </c>
      <c r="I568" s="120">
        <v>1608943</v>
      </c>
      <c r="J568" s="131">
        <v>1608943</v>
      </c>
      <c r="K568" s="132"/>
      <c r="L568" s="134"/>
    </row>
    <row r="569" spans="1:12" ht="51" customHeight="1">
      <c r="A569" s="15" t="s">
        <v>705</v>
      </c>
      <c r="B569" s="15">
        <v>170703</v>
      </c>
      <c r="C569" s="27" t="s">
        <v>945</v>
      </c>
      <c r="D569" s="27" t="s">
        <v>510</v>
      </c>
      <c r="E569" s="25" t="s">
        <v>365</v>
      </c>
      <c r="F569" s="25" t="s">
        <v>1188</v>
      </c>
      <c r="G569" s="120">
        <v>22077077</v>
      </c>
      <c r="H569" s="164">
        <f t="shared" si="10"/>
        <v>44.880493010918066</v>
      </c>
      <c r="I569" s="120">
        <v>12168776</v>
      </c>
      <c r="J569" s="131">
        <f>2180528+9988248</f>
        <v>12168776</v>
      </c>
      <c r="K569" s="132"/>
      <c r="L569" s="134"/>
    </row>
    <row r="570" spans="1:12" ht="25.5" customHeight="1" hidden="1">
      <c r="A570" s="15" t="s">
        <v>705</v>
      </c>
      <c r="B570" s="15">
        <v>170703</v>
      </c>
      <c r="C570" s="27" t="s">
        <v>945</v>
      </c>
      <c r="D570" s="27" t="s">
        <v>510</v>
      </c>
      <c r="E570" s="25" t="s">
        <v>365</v>
      </c>
      <c r="F570" s="25" t="s">
        <v>1099</v>
      </c>
      <c r="G570" s="120"/>
      <c r="H570" s="164" t="e">
        <f t="shared" si="10"/>
        <v>#DIV/0!</v>
      </c>
      <c r="I570" s="120"/>
      <c r="J570" s="131">
        <f>974289-974289</f>
        <v>0</v>
      </c>
      <c r="K570" s="132"/>
      <c r="L570" s="134"/>
    </row>
    <row r="571" spans="1:12" ht="25.5" customHeight="1">
      <c r="A571" s="15" t="s">
        <v>705</v>
      </c>
      <c r="B571" s="15">
        <v>170703</v>
      </c>
      <c r="C571" s="27" t="s">
        <v>945</v>
      </c>
      <c r="D571" s="27" t="s">
        <v>510</v>
      </c>
      <c r="E571" s="25" t="s">
        <v>365</v>
      </c>
      <c r="F571" s="25" t="s">
        <v>1189</v>
      </c>
      <c r="G571" s="120">
        <v>1500000</v>
      </c>
      <c r="H571" s="164">
        <f t="shared" si="10"/>
        <v>0</v>
      </c>
      <c r="I571" s="120">
        <v>1500000</v>
      </c>
      <c r="J571" s="131">
        <v>1500000</v>
      </c>
      <c r="K571" s="132"/>
      <c r="L571" s="134"/>
    </row>
    <row r="572" spans="1:12" ht="51.75" customHeight="1">
      <c r="A572" s="15" t="s">
        <v>705</v>
      </c>
      <c r="B572" s="15">
        <v>170703</v>
      </c>
      <c r="C572" s="27" t="s">
        <v>945</v>
      </c>
      <c r="D572" s="27" t="s">
        <v>510</v>
      </c>
      <c r="E572" s="25" t="s">
        <v>365</v>
      </c>
      <c r="F572" s="25" t="s">
        <v>1190</v>
      </c>
      <c r="G572" s="120">
        <v>41058703</v>
      </c>
      <c r="H572" s="164">
        <f t="shared" si="10"/>
        <v>0.9188137287239613</v>
      </c>
      <c r="I572" s="120">
        <f>41058703-377253</f>
        <v>40681450</v>
      </c>
      <c r="J572" s="131">
        <f>41058703-2600000-19566051-10000000+10000000</f>
        <v>18892652</v>
      </c>
      <c r="K572" s="132"/>
      <c r="L572" s="134"/>
    </row>
    <row r="573" spans="1:12" ht="25.5" customHeight="1">
      <c r="A573" s="15" t="s">
        <v>705</v>
      </c>
      <c r="B573" s="15">
        <v>170703</v>
      </c>
      <c r="C573" s="27" t="s">
        <v>945</v>
      </c>
      <c r="D573" s="27" t="s">
        <v>510</v>
      </c>
      <c r="E573" s="25" t="s">
        <v>365</v>
      </c>
      <c r="F573" s="25" t="s">
        <v>1191</v>
      </c>
      <c r="G573" s="120">
        <v>7108841</v>
      </c>
      <c r="H573" s="164">
        <f t="shared" si="10"/>
        <v>2.478378683670087</v>
      </c>
      <c r="I573" s="120">
        <v>6932657</v>
      </c>
      <c r="J573" s="131">
        <f>3634142-184+3298699</f>
        <v>6932657</v>
      </c>
      <c r="K573" s="132"/>
      <c r="L573" s="134"/>
    </row>
    <row r="574" spans="1:12" ht="37.5" customHeight="1">
      <c r="A574" s="15" t="s">
        <v>705</v>
      </c>
      <c r="B574" s="15">
        <v>170703</v>
      </c>
      <c r="C574" s="27" t="s">
        <v>945</v>
      </c>
      <c r="D574" s="27" t="s">
        <v>510</v>
      </c>
      <c r="E574" s="25" t="s">
        <v>365</v>
      </c>
      <c r="F574" s="25" t="s">
        <v>1321</v>
      </c>
      <c r="G574" s="120">
        <v>4336847</v>
      </c>
      <c r="H574" s="164">
        <f t="shared" si="10"/>
        <v>12.621266094930263</v>
      </c>
      <c r="I574" s="120">
        <v>3789482</v>
      </c>
      <c r="J574" s="131">
        <v>30986</v>
      </c>
      <c r="K574" s="132"/>
      <c r="L574" s="134"/>
    </row>
    <row r="575" spans="1:12" ht="12.75">
      <c r="A575" s="15" t="s">
        <v>705</v>
      </c>
      <c r="B575" s="15">
        <v>170703</v>
      </c>
      <c r="C575" s="27" t="s">
        <v>945</v>
      </c>
      <c r="D575" s="27" t="s">
        <v>510</v>
      </c>
      <c r="E575" s="25" t="s">
        <v>365</v>
      </c>
      <c r="F575" s="25" t="s">
        <v>1322</v>
      </c>
      <c r="G575" s="120">
        <v>312083</v>
      </c>
      <c r="H575" s="164">
        <f t="shared" si="10"/>
        <v>4.36037848905579</v>
      </c>
      <c r="I575" s="120">
        <v>298475</v>
      </c>
      <c r="J575" s="131">
        <v>298475</v>
      </c>
      <c r="K575" s="132"/>
      <c r="L575" s="134"/>
    </row>
    <row r="576" spans="1:12" ht="12.75">
      <c r="A576" s="15" t="s">
        <v>705</v>
      </c>
      <c r="B576" s="15">
        <v>170703</v>
      </c>
      <c r="C576" s="27" t="s">
        <v>945</v>
      </c>
      <c r="D576" s="27" t="s">
        <v>510</v>
      </c>
      <c r="E576" s="25" t="s">
        <v>365</v>
      </c>
      <c r="F576" s="25" t="s">
        <v>1323</v>
      </c>
      <c r="G576" s="120">
        <v>115053</v>
      </c>
      <c r="H576" s="164">
        <f t="shared" si="10"/>
        <v>0</v>
      </c>
      <c r="I576" s="120">
        <v>115053</v>
      </c>
      <c r="J576" s="131">
        <v>93771</v>
      </c>
      <c r="K576" s="132"/>
      <c r="L576" s="134"/>
    </row>
    <row r="577" spans="1:12" ht="23.25" customHeight="1">
      <c r="A577" s="15" t="s">
        <v>705</v>
      </c>
      <c r="B577" s="15">
        <v>170703</v>
      </c>
      <c r="C577" s="27" t="s">
        <v>945</v>
      </c>
      <c r="D577" s="27" t="s">
        <v>510</v>
      </c>
      <c r="E577" s="25" t="s">
        <v>365</v>
      </c>
      <c r="F577" s="25" t="s">
        <v>1324</v>
      </c>
      <c r="G577" s="120">
        <v>201454</v>
      </c>
      <c r="H577" s="164">
        <f t="shared" si="10"/>
        <v>80.48983887140488</v>
      </c>
      <c r="I577" s="120">
        <v>39304</v>
      </c>
      <c r="J577" s="131">
        <v>39304</v>
      </c>
      <c r="K577" s="132"/>
      <c r="L577" s="134"/>
    </row>
    <row r="578" spans="1:12" ht="12.75">
      <c r="A578" s="15" t="s">
        <v>705</v>
      </c>
      <c r="B578" s="15">
        <v>170703</v>
      </c>
      <c r="C578" s="27" t="s">
        <v>945</v>
      </c>
      <c r="D578" s="27" t="s">
        <v>510</v>
      </c>
      <c r="E578" s="25" t="s">
        <v>365</v>
      </c>
      <c r="F578" s="25" t="s">
        <v>1192</v>
      </c>
      <c r="G578" s="120">
        <v>1013570</v>
      </c>
      <c r="H578" s="164">
        <f t="shared" si="10"/>
        <v>16.77062265063094</v>
      </c>
      <c r="I578" s="120">
        <f>G578-169982</f>
        <v>843588</v>
      </c>
      <c r="J578" s="131">
        <f>800000-700000</f>
        <v>100000</v>
      </c>
      <c r="K578" s="132"/>
      <c r="L578" s="134"/>
    </row>
    <row r="579" spans="1:12" ht="25.5" customHeight="1">
      <c r="A579" s="15" t="s">
        <v>705</v>
      </c>
      <c r="B579" s="15">
        <v>170703</v>
      </c>
      <c r="C579" s="27" t="s">
        <v>945</v>
      </c>
      <c r="D579" s="27" t="s">
        <v>510</v>
      </c>
      <c r="E579" s="25" t="s">
        <v>365</v>
      </c>
      <c r="F579" s="25" t="s">
        <v>1193</v>
      </c>
      <c r="G579" s="120">
        <v>1753475</v>
      </c>
      <c r="H579" s="164">
        <f t="shared" si="10"/>
        <v>0.016937794950024454</v>
      </c>
      <c r="I579" s="120">
        <f>1753475-297</f>
        <v>1753178</v>
      </c>
      <c r="J579" s="131">
        <v>300000</v>
      </c>
      <c r="K579" s="132"/>
      <c r="L579" s="134"/>
    </row>
    <row r="580" spans="1:12" ht="25.5" customHeight="1">
      <c r="A580" s="15" t="s">
        <v>705</v>
      </c>
      <c r="B580" s="15">
        <v>170703</v>
      </c>
      <c r="C580" s="27" t="s">
        <v>945</v>
      </c>
      <c r="D580" s="27" t="s">
        <v>510</v>
      </c>
      <c r="E580" s="25" t="s">
        <v>365</v>
      </c>
      <c r="F580" s="25" t="s">
        <v>1194</v>
      </c>
      <c r="G580" s="120">
        <v>429356</v>
      </c>
      <c r="H580" s="164">
        <f t="shared" si="10"/>
        <v>32.67172230037545</v>
      </c>
      <c r="I580" s="120">
        <f>428926-139848</f>
        <v>289078</v>
      </c>
      <c r="J580" s="131">
        <v>254082</v>
      </c>
      <c r="K580" s="132"/>
      <c r="L580" s="134"/>
    </row>
    <row r="581" spans="1:12" ht="25.5" customHeight="1">
      <c r="A581" s="15" t="s">
        <v>705</v>
      </c>
      <c r="B581" s="15">
        <v>170703</v>
      </c>
      <c r="C581" s="27" t="s">
        <v>945</v>
      </c>
      <c r="D581" s="27" t="s">
        <v>510</v>
      </c>
      <c r="E581" s="25" t="s">
        <v>365</v>
      </c>
      <c r="F581" s="25" t="s">
        <v>1195</v>
      </c>
      <c r="G581" s="120">
        <v>15830411</v>
      </c>
      <c r="H581" s="164">
        <f t="shared" si="10"/>
        <v>1.904201981868951</v>
      </c>
      <c r="I581" s="120">
        <v>15528968</v>
      </c>
      <c r="J581" s="131">
        <v>15528968</v>
      </c>
      <c r="K581" s="132"/>
      <c r="L581" s="134"/>
    </row>
    <row r="582" spans="1:12" ht="25.5" customHeight="1">
      <c r="A582" s="15" t="s">
        <v>705</v>
      </c>
      <c r="B582" s="15">
        <v>170703</v>
      </c>
      <c r="C582" s="27" t="s">
        <v>945</v>
      </c>
      <c r="D582" s="27" t="s">
        <v>510</v>
      </c>
      <c r="E582" s="25" t="s">
        <v>365</v>
      </c>
      <c r="F582" s="25" t="s">
        <v>1196</v>
      </c>
      <c r="G582" s="120">
        <v>1017972</v>
      </c>
      <c r="H582" s="164">
        <f t="shared" si="10"/>
        <v>28.482021116494366</v>
      </c>
      <c r="I582" s="120">
        <f>1017972-289939</f>
        <v>728033</v>
      </c>
      <c r="J582" s="131">
        <f>300000-150000</f>
        <v>150000</v>
      </c>
      <c r="K582" s="132"/>
      <c r="L582" s="134"/>
    </row>
    <row r="583" spans="1:12" ht="25.5" customHeight="1">
      <c r="A583" s="15" t="s">
        <v>705</v>
      </c>
      <c r="B583" s="15">
        <v>170703</v>
      </c>
      <c r="C583" s="27" t="s">
        <v>945</v>
      </c>
      <c r="D583" s="27" t="s">
        <v>510</v>
      </c>
      <c r="E583" s="25" t="s">
        <v>365</v>
      </c>
      <c r="F583" s="14" t="s">
        <v>1220</v>
      </c>
      <c r="G583" s="120">
        <v>4441350</v>
      </c>
      <c r="H583" s="164">
        <f t="shared" si="10"/>
        <v>6.365249304828495</v>
      </c>
      <c r="I583" s="120">
        <f>4441350-282703</f>
        <v>4158647</v>
      </c>
      <c r="J583" s="131">
        <f>480000-100000-200000</f>
        <v>180000</v>
      </c>
      <c r="K583" s="132"/>
      <c r="L583" s="134"/>
    </row>
    <row r="584" spans="1:12" ht="25.5" customHeight="1">
      <c r="A584" s="15" t="s">
        <v>705</v>
      </c>
      <c r="B584" s="15">
        <v>170703</v>
      </c>
      <c r="C584" s="27" t="s">
        <v>945</v>
      </c>
      <c r="D584" s="27" t="s">
        <v>510</v>
      </c>
      <c r="E584" s="25" t="s">
        <v>365</v>
      </c>
      <c r="F584" s="25" t="s">
        <v>1197</v>
      </c>
      <c r="G584" s="120">
        <v>3523312</v>
      </c>
      <c r="H584" s="164">
        <f t="shared" si="10"/>
        <v>1.3789298251190871</v>
      </c>
      <c r="I584" s="120">
        <f>3175366+299362</f>
        <v>3474728</v>
      </c>
      <c r="J584" s="131">
        <v>480000</v>
      </c>
      <c r="K584" s="132"/>
      <c r="L584" s="134"/>
    </row>
    <row r="585" spans="1:12" ht="38.25">
      <c r="A585" s="15" t="s">
        <v>705</v>
      </c>
      <c r="B585" s="15">
        <v>170703</v>
      </c>
      <c r="C585" s="27" t="s">
        <v>945</v>
      </c>
      <c r="D585" s="27" t="s">
        <v>510</v>
      </c>
      <c r="E585" s="25" t="s">
        <v>365</v>
      </c>
      <c r="F585" s="25" t="s">
        <v>1198</v>
      </c>
      <c r="G585" s="120">
        <v>2300000</v>
      </c>
      <c r="H585" s="164">
        <f t="shared" si="10"/>
        <v>0</v>
      </c>
      <c r="I585" s="120">
        <v>2300000</v>
      </c>
      <c r="J585" s="131">
        <v>2300000</v>
      </c>
      <c r="K585" s="132"/>
      <c r="L585" s="134"/>
    </row>
    <row r="586" spans="1:12" ht="29.25" customHeight="1">
      <c r="A586" s="15" t="s">
        <v>705</v>
      </c>
      <c r="B586" s="15">
        <v>170703</v>
      </c>
      <c r="C586" s="27" t="s">
        <v>945</v>
      </c>
      <c r="D586" s="27" t="s">
        <v>510</v>
      </c>
      <c r="E586" s="25" t="s">
        <v>365</v>
      </c>
      <c r="F586" s="14" t="s">
        <v>1221</v>
      </c>
      <c r="G586" s="120">
        <v>30350700</v>
      </c>
      <c r="H586" s="164">
        <f t="shared" si="10"/>
        <v>0.4869442879406449</v>
      </c>
      <c r="I586" s="120">
        <f>30350700-147791</f>
        <v>30202909</v>
      </c>
      <c r="J586" s="131">
        <f>7965761-7865761</f>
        <v>100000</v>
      </c>
      <c r="K586" s="132"/>
      <c r="L586" s="134"/>
    </row>
    <row r="587" spans="1:12" ht="12.75" hidden="1">
      <c r="A587" s="15" t="s">
        <v>705</v>
      </c>
      <c r="B587" s="15">
        <v>170703</v>
      </c>
      <c r="C587" s="27" t="s">
        <v>945</v>
      </c>
      <c r="D587" s="27" t="s">
        <v>510</v>
      </c>
      <c r="E587" s="25" t="s">
        <v>365</v>
      </c>
      <c r="F587" s="14" t="s">
        <v>1222</v>
      </c>
      <c r="G587" s="120"/>
      <c r="H587" s="164" t="e">
        <f t="shared" si="10"/>
        <v>#DIV/0!</v>
      </c>
      <c r="I587" s="120"/>
      <c r="J587" s="131"/>
      <c r="L587" s="122"/>
    </row>
    <row r="588" spans="1:12" ht="12.75" hidden="1">
      <c r="A588" s="15" t="s">
        <v>705</v>
      </c>
      <c r="B588" s="15">
        <v>170703</v>
      </c>
      <c r="C588" s="27" t="s">
        <v>945</v>
      </c>
      <c r="D588" s="27" t="s">
        <v>510</v>
      </c>
      <c r="E588" s="25" t="s">
        <v>365</v>
      </c>
      <c r="F588" s="25" t="s">
        <v>1199</v>
      </c>
      <c r="G588" s="120"/>
      <c r="H588" s="164" t="e">
        <f t="shared" si="10"/>
        <v>#DIV/0!</v>
      </c>
      <c r="I588" s="120"/>
      <c r="J588" s="131">
        <f>1500000-93540-1406460</f>
        <v>0</v>
      </c>
      <c r="L588" s="122"/>
    </row>
    <row r="589" spans="1:12" ht="12.75">
      <c r="A589" s="15" t="s">
        <v>705</v>
      </c>
      <c r="B589" s="15">
        <v>170703</v>
      </c>
      <c r="C589" s="27" t="s">
        <v>945</v>
      </c>
      <c r="D589" s="27" t="s">
        <v>510</v>
      </c>
      <c r="E589" s="25" t="s">
        <v>365</v>
      </c>
      <c r="F589" s="25" t="s">
        <v>1362</v>
      </c>
      <c r="G589" s="120">
        <v>1100000</v>
      </c>
      <c r="H589" s="164">
        <f t="shared" si="10"/>
        <v>5.584636363636363</v>
      </c>
      <c r="I589" s="120">
        <v>1038569</v>
      </c>
      <c r="J589" s="131">
        <f>1100000-61431</f>
        <v>1038569</v>
      </c>
      <c r="L589" s="122"/>
    </row>
    <row r="590" spans="1:12" ht="13.5" customHeight="1" hidden="1">
      <c r="A590" s="15" t="s">
        <v>705</v>
      </c>
      <c r="B590" s="15">
        <v>170703</v>
      </c>
      <c r="C590" s="27" t="s">
        <v>945</v>
      </c>
      <c r="D590" s="27" t="s">
        <v>510</v>
      </c>
      <c r="E590" s="25" t="s">
        <v>365</v>
      </c>
      <c r="F590" s="25" t="s">
        <v>1100</v>
      </c>
      <c r="G590" s="120"/>
      <c r="H590" s="164" t="e">
        <f t="shared" si="10"/>
        <v>#DIV/0!</v>
      </c>
      <c r="I590" s="120"/>
      <c r="J590" s="131">
        <f>800000-800000</f>
        <v>0</v>
      </c>
      <c r="L590" s="122"/>
    </row>
    <row r="591" spans="1:12" ht="25.5" customHeight="1">
      <c r="A591" s="15" t="s">
        <v>705</v>
      </c>
      <c r="B591" s="15">
        <v>170703</v>
      </c>
      <c r="C591" s="27" t="s">
        <v>945</v>
      </c>
      <c r="D591" s="27" t="s">
        <v>510</v>
      </c>
      <c r="E591" s="25" t="s">
        <v>365</v>
      </c>
      <c r="F591" s="25" t="s">
        <v>1101</v>
      </c>
      <c r="G591" s="120">
        <v>5028661939</v>
      </c>
      <c r="H591" s="164">
        <f>100-(I591/G591)*100</f>
        <v>55.88570997792819</v>
      </c>
      <c r="I591" s="120">
        <v>2218358512</v>
      </c>
      <c r="J591" s="131">
        <v>20000000</v>
      </c>
      <c r="L591" s="122"/>
    </row>
    <row r="592" spans="1:12" ht="25.5" customHeight="1">
      <c r="A592" s="27" t="s">
        <v>705</v>
      </c>
      <c r="B592" s="15">
        <v>170703</v>
      </c>
      <c r="C592" s="27" t="s">
        <v>945</v>
      </c>
      <c r="D592" s="27" t="s">
        <v>510</v>
      </c>
      <c r="E592" s="25" t="s">
        <v>365</v>
      </c>
      <c r="F592" s="126" t="s">
        <v>1098</v>
      </c>
      <c r="G592" s="120"/>
      <c r="H592" s="165"/>
      <c r="I592" s="120"/>
      <c r="J592" s="120">
        <f>J565-SUM(J566:J591)</f>
        <v>83730585</v>
      </c>
      <c r="L592" s="122"/>
    </row>
    <row r="593" spans="1:12" ht="25.5" customHeight="1">
      <c r="A593" s="62" t="s">
        <v>706</v>
      </c>
      <c r="B593" s="62" t="s">
        <v>519</v>
      </c>
      <c r="C593" s="62" t="s">
        <v>841</v>
      </c>
      <c r="D593" s="62"/>
      <c r="E593" s="64" t="s">
        <v>521</v>
      </c>
      <c r="F593" s="98"/>
      <c r="G593" s="120"/>
      <c r="H593" s="165"/>
      <c r="I593" s="120"/>
      <c r="J593" s="120">
        <f>J594</f>
        <v>14593349</v>
      </c>
      <c r="L593" s="122"/>
    </row>
    <row r="594" spans="1:12" ht="29.25" customHeight="1">
      <c r="A594" s="27" t="s">
        <v>707</v>
      </c>
      <c r="B594" s="15" t="s">
        <v>71</v>
      </c>
      <c r="C594" s="27" t="s">
        <v>842</v>
      </c>
      <c r="D594" s="27" t="s">
        <v>478</v>
      </c>
      <c r="E594" s="25" t="s">
        <v>211</v>
      </c>
      <c r="F594" s="98"/>
      <c r="G594" s="120"/>
      <c r="H594" s="165"/>
      <c r="I594" s="120"/>
      <c r="J594" s="120">
        <f>'[1]Місто'!$P$351</f>
        <v>14593349</v>
      </c>
      <c r="L594" s="122">
        <f>J594-(J595+J596+J597+J598)</f>
        <v>0</v>
      </c>
    </row>
    <row r="595" spans="1:12" ht="51">
      <c r="A595" s="27"/>
      <c r="B595" s="15"/>
      <c r="C595" s="15"/>
      <c r="D595" s="27"/>
      <c r="E595" s="25"/>
      <c r="F595" s="25" t="s">
        <v>1091</v>
      </c>
      <c r="G595" s="120"/>
      <c r="H595" s="164"/>
      <c r="I595" s="120"/>
      <c r="J595" s="120">
        <v>10000000</v>
      </c>
      <c r="L595" s="122"/>
    </row>
    <row r="596" spans="1:12" ht="12.75">
      <c r="A596" s="27"/>
      <c r="B596" s="15"/>
      <c r="C596" s="15"/>
      <c r="D596" s="27"/>
      <c r="E596" s="25"/>
      <c r="F596" s="25" t="s">
        <v>1312</v>
      </c>
      <c r="G596" s="120"/>
      <c r="H596" s="164"/>
      <c r="I596" s="120"/>
      <c r="J596" s="120">
        <v>1298604</v>
      </c>
      <c r="L596" s="122"/>
    </row>
    <row r="597" spans="1:12" ht="51">
      <c r="A597" s="27"/>
      <c r="B597" s="15"/>
      <c r="C597" s="15"/>
      <c r="D597" s="27"/>
      <c r="E597" s="25"/>
      <c r="F597" s="25" t="s">
        <v>1331</v>
      </c>
      <c r="G597" s="120"/>
      <c r="H597" s="164"/>
      <c r="I597" s="120"/>
      <c r="J597" s="120">
        <f>254762+440000</f>
        <v>694762</v>
      </c>
      <c r="L597" s="122"/>
    </row>
    <row r="598" spans="1:12" ht="38.25">
      <c r="A598" s="27"/>
      <c r="B598" s="15"/>
      <c r="C598" s="15"/>
      <c r="D598" s="27"/>
      <c r="E598" s="25"/>
      <c r="F598" s="25" t="s">
        <v>1371</v>
      </c>
      <c r="G598" s="120"/>
      <c r="H598" s="165"/>
      <c r="I598" s="120"/>
      <c r="J598" s="120">
        <f>2600000-17</f>
        <v>2599983</v>
      </c>
      <c r="L598" s="122"/>
    </row>
    <row r="599" spans="1:12" ht="12.75" hidden="1">
      <c r="A599" s="57" t="s">
        <v>778</v>
      </c>
      <c r="B599" s="57" t="s">
        <v>444</v>
      </c>
      <c r="C599" s="57" t="s">
        <v>875</v>
      </c>
      <c r="D599" s="57"/>
      <c r="E599" s="58" t="s">
        <v>445</v>
      </c>
      <c r="F599" s="98"/>
      <c r="G599" s="120"/>
      <c r="H599" s="165"/>
      <c r="I599" s="120"/>
      <c r="J599" s="120">
        <f>J600</f>
        <v>0</v>
      </c>
      <c r="L599" s="122"/>
    </row>
    <row r="600" spans="1:12" ht="12.75" hidden="1">
      <c r="A600" s="27" t="s">
        <v>779</v>
      </c>
      <c r="B600" s="27" t="s">
        <v>444</v>
      </c>
      <c r="C600" s="27" t="s">
        <v>876</v>
      </c>
      <c r="D600" s="27" t="s">
        <v>488</v>
      </c>
      <c r="E600" s="44" t="s">
        <v>472</v>
      </c>
      <c r="F600" s="98"/>
      <c r="G600" s="120"/>
      <c r="H600" s="165"/>
      <c r="I600" s="120"/>
      <c r="J600" s="120">
        <v>0</v>
      </c>
      <c r="L600" s="122"/>
    </row>
    <row r="601" spans="1:12" ht="12.75" hidden="1">
      <c r="A601" s="62" t="s">
        <v>708</v>
      </c>
      <c r="B601" s="62" t="s">
        <v>535</v>
      </c>
      <c r="C601" s="62" t="s">
        <v>843</v>
      </c>
      <c r="D601" s="62"/>
      <c r="E601" s="64" t="s">
        <v>536</v>
      </c>
      <c r="F601" s="98"/>
      <c r="G601" s="120"/>
      <c r="H601" s="165"/>
      <c r="I601" s="120"/>
      <c r="J601" s="120">
        <f>J602</f>
        <v>0</v>
      </c>
      <c r="L601" s="122"/>
    </row>
    <row r="602" spans="1:12" ht="12.75" hidden="1">
      <c r="A602" s="45" t="s">
        <v>709</v>
      </c>
      <c r="B602" s="45" t="s">
        <v>50</v>
      </c>
      <c r="C602" s="45" t="s">
        <v>845</v>
      </c>
      <c r="D602" s="45"/>
      <c r="E602" s="47" t="s">
        <v>350</v>
      </c>
      <c r="F602" s="98"/>
      <c r="G602" s="120"/>
      <c r="H602" s="165"/>
      <c r="I602" s="120"/>
      <c r="J602" s="120">
        <f>J603+J604</f>
        <v>0</v>
      </c>
      <c r="L602" s="122"/>
    </row>
    <row r="603" spans="1:12" ht="51.75" customHeight="1" hidden="1">
      <c r="A603" s="27" t="s">
        <v>710</v>
      </c>
      <c r="B603" s="15" t="s">
        <v>50</v>
      </c>
      <c r="C603" s="27" t="s">
        <v>851</v>
      </c>
      <c r="D603" s="27" t="s">
        <v>479</v>
      </c>
      <c r="E603" s="25" t="s">
        <v>287</v>
      </c>
      <c r="F603" s="98"/>
      <c r="G603" s="120"/>
      <c r="H603" s="165"/>
      <c r="I603" s="120"/>
      <c r="J603" s="120">
        <v>0</v>
      </c>
      <c r="L603" s="122"/>
    </row>
    <row r="604" spans="1:12" ht="51.75" customHeight="1" hidden="1">
      <c r="A604" s="27" t="s">
        <v>714</v>
      </c>
      <c r="B604" s="15" t="s">
        <v>50</v>
      </c>
      <c r="C604" s="27" t="s">
        <v>848</v>
      </c>
      <c r="D604" s="27" t="s">
        <v>479</v>
      </c>
      <c r="E604" s="25" t="s">
        <v>289</v>
      </c>
      <c r="F604" s="98"/>
      <c r="G604" s="120"/>
      <c r="H604" s="165"/>
      <c r="I604" s="120"/>
      <c r="J604" s="120">
        <v>0</v>
      </c>
      <c r="L604" s="122"/>
    </row>
    <row r="605" spans="1:12" ht="25.5" customHeight="1" hidden="1">
      <c r="A605" s="31" t="s">
        <v>212</v>
      </c>
      <c r="B605" s="31" t="s">
        <v>125</v>
      </c>
      <c r="C605" s="31" t="s">
        <v>125</v>
      </c>
      <c r="D605" s="31"/>
      <c r="E605" s="33" t="s">
        <v>94</v>
      </c>
      <c r="F605" s="33"/>
      <c r="G605" s="153"/>
      <c r="H605" s="172"/>
      <c r="I605" s="153"/>
      <c r="J605" s="153">
        <f>J606</f>
        <v>0</v>
      </c>
      <c r="L605" s="122">
        <v>0</v>
      </c>
    </row>
    <row r="606" spans="1:12" ht="29.25" customHeight="1" hidden="1">
      <c r="A606" s="29" t="s">
        <v>213</v>
      </c>
      <c r="B606" s="18"/>
      <c r="C606" s="18"/>
      <c r="D606" s="18"/>
      <c r="E606" s="26" t="s">
        <v>94</v>
      </c>
      <c r="F606" s="98"/>
      <c r="G606" s="120"/>
      <c r="H606" s="165"/>
      <c r="I606" s="120"/>
      <c r="J606" s="120">
        <f>J607+J609</f>
        <v>0</v>
      </c>
      <c r="L606" s="122"/>
    </row>
    <row r="607" spans="1:12" ht="12.75" hidden="1">
      <c r="A607" s="62" t="s">
        <v>581</v>
      </c>
      <c r="B607" s="61" t="s">
        <v>567</v>
      </c>
      <c r="C607" s="61" t="s">
        <v>833</v>
      </c>
      <c r="D607" s="61"/>
      <c r="E607" s="72" t="s">
        <v>569</v>
      </c>
      <c r="F607" s="98"/>
      <c r="G607" s="120"/>
      <c r="H607" s="165"/>
      <c r="I607" s="120"/>
      <c r="J607" s="120">
        <f>J608</f>
        <v>0</v>
      </c>
      <c r="L607" s="122"/>
    </row>
    <row r="608" spans="1:12" ht="28.5" customHeight="1" hidden="1">
      <c r="A608" s="27" t="s">
        <v>9</v>
      </c>
      <c r="B608" s="15" t="s">
        <v>30</v>
      </c>
      <c r="C608" s="27" t="s">
        <v>515</v>
      </c>
      <c r="D608" s="27" t="s">
        <v>476</v>
      </c>
      <c r="E608" s="28" t="s">
        <v>820</v>
      </c>
      <c r="F608" s="98"/>
      <c r="G608" s="120"/>
      <c r="H608" s="165"/>
      <c r="I608" s="120"/>
      <c r="J608" s="120">
        <v>0</v>
      </c>
      <c r="L608" s="122"/>
    </row>
    <row r="609" spans="1:12" ht="12.75" hidden="1">
      <c r="A609" s="62" t="s">
        <v>582</v>
      </c>
      <c r="B609" s="62" t="s">
        <v>535</v>
      </c>
      <c r="C609" s="62" t="s">
        <v>843</v>
      </c>
      <c r="D609" s="62"/>
      <c r="E609" s="63" t="s">
        <v>536</v>
      </c>
      <c r="F609" s="98"/>
      <c r="G609" s="120"/>
      <c r="H609" s="165"/>
      <c r="I609" s="120"/>
      <c r="J609" s="120">
        <f>J610</f>
        <v>0</v>
      </c>
      <c r="L609" s="122"/>
    </row>
    <row r="610" spans="1:12" ht="12" customHeight="1" hidden="1">
      <c r="A610" s="45" t="s">
        <v>355</v>
      </c>
      <c r="B610" s="45" t="s">
        <v>50</v>
      </c>
      <c r="C610" s="45" t="s">
        <v>845</v>
      </c>
      <c r="D610" s="45"/>
      <c r="E610" s="52" t="s">
        <v>350</v>
      </c>
      <c r="F610" s="98"/>
      <c r="G610" s="120"/>
      <c r="H610" s="165"/>
      <c r="I610" s="120"/>
      <c r="J610" s="120">
        <f>J611</f>
        <v>0</v>
      </c>
      <c r="L610" s="122"/>
    </row>
    <row r="611" spans="1:12" ht="53.25" customHeight="1" hidden="1">
      <c r="A611" s="27" t="s">
        <v>367</v>
      </c>
      <c r="B611" s="27" t="s">
        <v>50</v>
      </c>
      <c r="C611" s="27" t="s">
        <v>850</v>
      </c>
      <c r="D611" s="27" t="s">
        <v>479</v>
      </c>
      <c r="E611" s="28" t="s">
        <v>299</v>
      </c>
      <c r="F611" s="98"/>
      <c r="G611" s="120"/>
      <c r="H611" s="165"/>
      <c r="I611" s="120"/>
      <c r="J611" s="120">
        <v>0</v>
      </c>
      <c r="L611" s="122"/>
    </row>
    <row r="612" spans="1:12" ht="39" customHeight="1">
      <c r="A612" s="31" t="s">
        <v>214</v>
      </c>
      <c r="B612" s="31" t="s">
        <v>129</v>
      </c>
      <c r="C612" s="31" t="s">
        <v>129</v>
      </c>
      <c r="D612" s="31"/>
      <c r="E612" s="33" t="s">
        <v>93</v>
      </c>
      <c r="F612" s="33"/>
      <c r="G612" s="153">
        <f>G613</f>
        <v>0</v>
      </c>
      <c r="H612" s="172"/>
      <c r="I612" s="153">
        <f>I613</f>
        <v>0</v>
      </c>
      <c r="J612" s="153">
        <f>J613</f>
        <v>4144990</v>
      </c>
      <c r="L612" s="122">
        <v>0</v>
      </c>
    </row>
    <row r="613" spans="1:12" ht="25.5">
      <c r="A613" s="29" t="s">
        <v>215</v>
      </c>
      <c r="B613" s="18"/>
      <c r="C613" s="18"/>
      <c r="D613" s="18"/>
      <c r="E613" s="26" t="s">
        <v>93</v>
      </c>
      <c r="F613" s="98"/>
      <c r="G613" s="120">
        <f>G614+G616+G617</f>
        <v>0</v>
      </c>
      <c r="H613" s="165"/>
      <c r="I613" s="120">
        <f>I614+I616+I617</f>
        <v>0</v>
      </c>
      <c r="J613" s="120">
        <f>J614+J616+J617</f>
        <v>4144990</v>
      </c>
      <c r="L613" s="122"/>
    </row>
    <row r="614" spans="1:12" ht="12.75" hidden="1">
      <c r="A614" s="62" t="s">
        <v>583</v>
      </c>
      <c r="B614" s="61" t="s">
        <v>567</v>
      </c>
      <c r="C614" s="61" t="s">
        <v>833</v>
      </c>
      <c r="D614" s="61"/>
      <c r="E614" s="72" t="s">
        <v>569</v>
      </c>
      <c r="F614" s="98"/>
      <c r="G614" s="120"/>
      <c r="H614" s="165"/>
      <c r="I614" s="120"/>
      <c r="J614" s="120">
        <f>J615</f>
        <v>0</v>
      </c>
      <c r="L614" s="122"/>
    </row>
    <row r="615" spans="1:12" ht="25.5" hidden="1">
      <c r="A615" s="27" t="s">
        <v>10</v>
      </c>
      <c r="B615" s="15" t="s">
        <v>30</v>
      </c>
      <c r="C615" s="27" t="s">
        <v>515</v>
      </c>
      <c r="D615" s="27" t="s">
        <v>476</v>
      </c>
      <c r="E615" s="28" t="s">
        <v>263</v>
      </c>
      <c r="F615" s="98"/>
      <c r="G615" s="120"/>
      <c r="H615" s="165"/>
      <c r="I615" s="120"/>
      <c r="J615" s="120">
        <v>0</v>
      </c>
      <c r="L615" s="122"/>
    </row>
    <row r="616" spans="1:12" ht="30" customHeight="1">
      <c r="A616" s="62" t="s">
        <v>421</v>
      </c>
      <c r="B616" s="62" t="s">
        <v>420</v>
      </c>
      <c r="C616" s="62" t="s">
        <v>946</v>
      </c>
      <c r="D616" s="62" t="s">
        <v>511</v>
      </c>
      <c r="E616" s="63" t="s">
        <v>422</v>
      </c>
      <c r="F616" s="126" t="s">
        <v>1098</v>
      </c>
      <c r="G616" s="120"/>
      <c r="H616" s="165"/>
      <c r="I616" s="120"/>
      <c r="J616" s="120">
        <f>'[1]Місто'!$P$372</f>
        <v>3374990</v>
      </c>
      <c r="L616" s="122"/>
    </row>
    <row r="617" spans="1:12" ht="24.75" customHeight="1">
      <c r="A617" s="62" t="s">
        <v>584</v>
      </c>
      <c r="B617" s="62" t="s">
        <v>535</v>
      </c>
      <c r="C617" s="62" t="s">
        <v>843</v>
      </c>
      <c r="D617" s="62"/>
      <c r="E617" s="63" t="s">
        <v>536</v>
      </c>
      <c r="F617" s="98"/>
      <c r="G617" s="120"/>
      <c r="H617" s="165"/>
      <c r="I617" s="120"/>
      <c r="J617" s="120">
        <f>J618</f>
        <v>770000</v>
      </c>
      <c r="L617" s="122"/>
    </row>
    <row r="618" spans="1:12" ht="12.75">
      <c r="A618" s="45" t="s">
        <v>356</v>
      </c>
      <c r="B618" s="45" t="s">
        <v>50</v>
      </c>
      <c r="C618" s="45" t="s">
        <v>845</v>
      </c>
      <c r="D618" s="45" t="s">
        <v>479</v>
      </c>
      <c r="E618" s="52" t="s">
        <v>350</v>
      </c>
      <c r="F618" s="126" t="s">
        <v>1098</v>
      </c>
      <c r="G618" s="120"/>
      <c r="H618" s="165"/>
      <c r="I618" s="120"/>
      <c r="J618" s="120">
        <f>J619+J620</f>
        <v>770000</v>
      </c>
      <c r="L618" s="122"/>
    </row>
    <row r="619" spans="1:12" ht="38.25">
      <c r="A619" s="42" t="s">
        <v>298</v>
      </c>
      <c r="B619" s="27" t="s">
        <v>50</v>
      </c>
      <c r="C619" s="27" t="s">
        <v>849</v>
      </c>
      <c r="D619" s="27" t="s">
        <v>479</v>
      </c>
      <c r="E619" s="28" t="s">
        <v>410</v>
      </c>
      <c r="F619" s="126" t="s">
        <v>1110</v>
      </c>
      <c r="G619" s="120"/>
      <c r="H619" s="165"/>
      <c r="I619" s="120"/>
      <c r="J619" s="120">
        <f>'[1]Місто'!$P$375</f>
        <v>770000</v>
      </c>
      <c r="L619" s="122"/>
    </row>
    <row r="620" spans="1:12" ht="37.5" customHeight="1" hidden="1">
      <c r="A620" s="29" t="s">
        <v>425</v>
      </c>
      <c r="B620" s="18" t="s">
        <v>50</v>
      </c>
      <c r="C620" s="29" t="s">
        <v>847</v>
      </c>
      <c r="D620" s="18"/>
      <c r="E620" s="44" t="s">
        <v>366</v>
      </c>
      <c r="F620" s="98"/>
      <c r="G620" s="120"/>
      <c r="H620" s="165"/>
      <c r="I620" s="120"/>
      <c r="J620" s="120">
        <v>0</v>
      </c>
      <c r="L620" s="122"/>
    </row>
    <row r="621" spans="1:12" s="21" customFormat="1" ht="38.25" hidden="1">
      <c r="A621" s="31" t="s">
        <v>689</v>
      </c>
      <c r="B621" s="31" t="s">
        <v>688</v>
      </c>
      <c r="C621" s="31" t="s">
        <v>688</v>
      </c>
      <c r="D621" s="31"/>
      <c r="E621" s="30" t="s">
        <v>693</v>
      </c>
      <c r="F621" s="30"/>
      <c r="G621" s="150"/>
      <c r="H621" s="166"/>
      <c r="I621" s="150"/>
      <c r="J621" s="150">
        <f>J622</f>
        <v>0</v>
      </c>
      <c r="L621" s="122">
        <v>0</v>
      </c>
    </row>
    <row r="622" spans="1:12" s="21" customFormat="1" ht="38.25" customHeight="1" hidden="1">
      <c r="A622" s="29" t="s">
        <v>690</v>
      </c>
      <c r="B622" s="18"/>
      <c r="C622" s="18"/>
      <c r="D622" s="18"/>
      <c r="E622" s="28" t="s">
        <v>693</v>
      </c>
      <c r="F622" s="100"/>
      <c r="G622" s="119"/>
      <c r="H622" s="164"/>
      <c r="I622" s="119"/>
      <c r="J622" s="119">
        <f>J623</f>
        <v>0</v>
      </c>
      <c r="L622" s="122"/>
    </row>
    <row r="623" spans="1:12" s="21" customFormat="1" ht="12.75" hidden="1">
      <c r="A623" s="62" t="s">
        <v>691</v>
      </c>
      <c r="B623" s="61" t="s">
        <v>567</v>
      </c>
      <c r="C623" s="61" t="s">
        <v>833</v>
      </c>
      <c r="D623" s="61"/>
      <c r="E623" s="72" t="s">
        <v>569</v>
      </c>
      <c r="F623" s="100"/>
      <c r="G623" s="119"/>
      <c r="H623" s="164"/>
      <c r="I623" s="119"/>
      <c r="J623" s="119">
        <f>J624</f>
        <v>0</v>
      </c>
      <c r="L623" s="122"/>
    </row>
    <row r="624" spans="1:12" s="21" customFormat="1" ht="37.5" customHeight="1" hidden="1">
      <c r="A624" s="27" t="s">
        <v>692</v>
      </c>
      <c r="B624" s="15" t="s">
        <v>30</v>
      </c>
      <c r="C624" s="27" t="s">
        <v>515</v>
      </c>
      <c r="D624" s="27" t="s">
        <v>476</v>
      </c>
      <c r="E624" s="28" t="s">
        <v>746</v>
      </c>
      <c r="F624" s="100"/>
      <c r="G624" s="119"/>
      <c r="H624" s="164"/>
      <c r="I624" s="119"/>
      <c r="J624" s="119">
        <v>0</v>
      </c>
      <c r="L624" s="122"/>
    </row>
    <row r="625" spans="1:12" s="21" customFormat="1" ht="25.5" hidden="1">
      <c r="A625" s="31" t="s">
        <v>216</v>
      </c>
      <c r="B625" s="31" t="s">
        <v>131</v>
      </c>
      <c r="C625" s="31" t="s">
        <v>131</v>
      </c>
      <c r="D625" s="31"/>
      <c r="E625" s="30" t="s">
        <v>104</v>
      </c>
      <c r="F625" s="30"/>
      <c r="G625" s="150"/>
      <c r="H625" s="166"/>
      <c r="I625" s="150"/>
      <c r="J625" s="150">
        <f>J626</f>
        <v>0</v>
      </c>
      <c r="L625" s="122">
        <v>0</v>
      </c>
    </row>
    <row r="626" spans="1:12" s="21" customFormat="1" ht="25.5" hidden="1">
      <c r="A626" s="29" t="s">
        <v>217</v>
      </c>
      <c r="B626" s="18"/>
      <c r="C626" s="18"/>
      <c r="D626" s="18"/>
      <c r="E626" s="26" t="s">
        <v>104</v>
      </c>
      <c r="F626" s="100"/>
      <c r="G626" s="119"/>
      <c r="H626" s="164"/>
      <c r="I626" s="119"/>
      <c r="J626" s="119">
        <f>J627</f>
        <v>0</v>
      </c>
      <c r="L626" s="122">
        <v>0</v>
      </c>
    </row>
    <row r="627" spans="1:12" s="21" customFormat="1" ht="12.75" hidden="1">
      <c r="A627" s="62" t="s">
        <v>585</v>
      </c>
      <c r="B627" s="61" t="s">
        <v>567</v>
      </c>
      <c r="C627" s="61" t="s">
        <v>833</v>
      </c>
      <c r="D627" s="61"/>
      <c r="E627" s="72" t="s">
        <v>569</v>
      </c>
      <c r="F627" s="100"/>
      <c r="G627" s="119"/>
      <c r="H627" s="164"/>
      <c r="I627" s="119"/>
      <c r="J627" s="119">
        <f>J628</f>
        <v>0</v>
      </c>
      <c r="L627" s="122">
        <v>0</v>
      </c>
    </row>
    <row r="628" spans="1:12" s="21" customFormat="1" ht="37.5" customHeight="1" hidden="1">
      <c r="A628" s="27" t="s">
        <v>11</v>
      </c>
      <c r="B628" s="15" t="s">
        <v>30</v>
      </c>
      <c r="C628" s="27" t="s">
        <v>515</v>
      </c>
      <c r="D628" s="27" t="s">
        <v>476</v>
      </c>
      <c r="E628" s="28" t="s">
        <v>269</v>
      </c>
      <c r="F628" s="100"/>
      <c r="G628" s="119"/>
      <c r="H628" s="164"/>
      <c r="I628" s="119"/>
      <c r="J628" s="119">
        <v>0</v>
      </c>
      <c r="L628" s="122">
        <v>0</v>
      </c>
    </row>
    <row r="629" spans="1:12" ht="24.75" customHeight="1" hidden="1">
      <c r="A629" s="31" t="s">
        <v>218</v>
      </c>
      <c r="B629" s="31" t="s">
        <v>135</v>
      </c>
      <c r="C629" s="31"/>
      <c r="D629" s="31"/>
      <c r="E629" s="34" t="s">
        <v>105</v>
      </c>
      <c r="F629" s="34"/>
      <c r="G629" s="154">
        <f>G630</f>
        <v>0</v>
      </c>
      <c r="H629" s="173"/>
      <c r="I629" s="154">
        <f>I630</f>
        <v>0</v>
      </c>
      <c r="J629" s="154">
        <f>J630</f>
        <v>0</v>
      </c>
      <c r="L629" s="122">
        <v>0</v>
      </c>
    </row>
    <row r="630" spans="1:12" ht="25.5" hidden="1">
      <c r="A630" s="27" t="s">
        <v>219</v>
      </c>
      <c r="B630" s="15"/>
      <c r="C630" s="15"/>
      <c r="D630" s="15"/>
      <c r="E630" s="26" t="s">
        <v>105</v>
      </c>
      <c r="F630" s="98"/>
      <c r="G630" s="120">
        <f>G631+G633</f>
        <v>0</v>
      </c>
      <c r="H630" s="165"/>
      <c r="I630" s="120">
        <f>I631+I633</f>
        <v>0</v>
      </c>
      <c r="J630" s="120">
        <f>J631+J633</f>
        <v>0</v>
      </c>
      <c r="L630" s="122"/>
    </row>
    <row r="631" spans="1:12" ht="12.75" hidden="1">
      <c r="A631" s="62" t="s">
        <v>586</v>
      </c>
      <c r="B631" s="62" t="s">
        <v>567</v>
      </c>
      <c r="C631" s="62" t="s">
        <v>833</v>
      </c>
      <c r="D631" s="62"/>
      <c r="E631" s="72" t="s">
        <v>569</v>
      </c>
      <c r="F631" s="98"/>
      <c r="G631" s="120"/>
      <c r="H631" s="165"/>
      <c r="I631" s="120"/>
      <c r="J631" s="120">
        <f>J632</f>
        <v>0</v>
      </c>
      <c r="L631" s="122"/>
    </row>
    <row r="632" spans="1:12" ht="25.5" hidden="1">
      <c r="A632" s="27" t="s">
        <v>12</v>
      </c>
      <c r="B632" s="15" t="s">
        <v>30</v>
      </c>
      <c r="C632" s="27" t="s">
        <v>515</v>
      </c>
      <c r="D632" s="27" t="s">
        <v>476</v>
      </c>
      <c r="E632" s="28" t="s">
        <v>264</v>
      </c>
      <c r="F632" s="98"/>
      <c r="G632" s="120"/>
      <c r="H632" s="165"/>
      <c r="I632" s="120"/>
      <c r="J632" s="120">
        <v>0</v>
      </c>
      <c r="L632" s="122"/>
    </row>
    <row r="633" spans="1:12" ht="28.5" customHeight="1" hidden="1">
      <c r="A633" s="62" t="s">
        <v>781</v>
      </c>
      <c r="B633" s="62"/>
      <c r="C633" s="62" t="s">
        <v>947</v>
      </c>
      <c r="D633" s="62"/>
      <c r="E633" s="64" t="s">
        <v>782</v>
      </c>
      <c r="F633" s="98"/>
      <c r="G633" s="120"/>
      <c r="H633" s="165"/>
      <c r="I633" s="120"/>
      <c r="J633" s="120">
        <f>J634</f>
        <v>0</v>
      </c>
      <c r="L633" s="122"/>
    </row>
    <row r="634" spans="1:12" ht="15" customHeight="1" hidden="1">
      <c r="A634" s="27" t="s">
        <v>300</v>
      </c>
      <c r="B634" s="27" t="s">
        <v>106</v>
      </c>
      <c r="C634" s="27" t="s">
        <v>948</v>
      </c>
      <c r="D634" s="27" t="s">
        <v>783</v>
      </c>
      <c r="E634" s="25" t="s">
        <v>220</v>
      </c>
      <c r="F634" s="98"/>
      <c r="G634" s="120"/>
      <c r="H634" s="165"/>
      <c r="I634" s="120"/>
      <c r="J634" s="120">
        <v>0</v>
      </c>
      <c r="L634" s="122"/>
    </row>
    <row r="635" spans="1:12" ht="25.5" hidden="1">
      <c r="A635" s="31" t="s">
        <v>221</v>
      </c>
      <c r="B635" s="31" t="s">
        <v>130</v>
      </c>
      <c r="C635" s="31" t="s">
        <v>130</v>
      </c>
      <c r="D635" s="31"/>
      <c r="E635" s="33" t="s">
        <v>96</v>
      </c>
      <c r="F635" s="33"/>
      <c r="G635" s="153">
        <f>G636</f>
        <v>0</v>
      </c>
      <c r="H635" s="172"/>
      <c r="I635" s="153">
        <f>I636</f>
        <v>0</v>
      </c>
      <c r="J635" s="153">
        <f>J636</f>
        <v>0</v>
      </c>
      <c r="L635" s="122">
        <v>0</v>
      </c>
    </row>
    <row r="636" spans="1:12" ht="25.5" customHeight="1" hidden="1">
      <c r="A636" s="29" t="s">
        <v>222</v>
      </c>
      <c r="B636" s="18"/>
      <c r="C636" s="18"/>
      <c r="D636" s="18"/>
      <c r="E636" s="26" t="s">
        <v>96</v>
      </c>
      <c r="F636" s="98"/>
      <c r="G636" s="120">
        <f>G637+G639+G644+G648+G651+G653</f>
        <v>0</v>
      </c>
      <c r="H636" s="165"/>
      <c r="I636" s="120">
        <f>I637+I639+I644+I648+I651+I653</f>
        <v>0</v>
      </c>
      <c r="J636" s="120">
        <f>J637+J639+J644+J648+J651+J653</f>
        <v>0</v>
      </c>
      <c r="L636" s="122"/>
    </row>
    <row r="637" spans="1:12" ht="12.75" hidden="1">
      <c r="A637" s="62" t="s">
        <v>587</v>
      </c>
      <c r="B637" s="61" t="s">
        <v>567</v>
      </c>
      <c r="C637" s="61" t="s">
        <v>833</v>
      </c>
      <c r="D637" s="61"/>
      <c r="E637" s="72" t="s">
        <v>569</v>
      </c>
      <c r="F637" s="98"/>
      <c r="G637" s="120"/>
      <c r="H637" s="165"/>
      <c r="I637" s="120"/>
      <c r="J637" s="120">
        <f>J638</f>
        <v>0</v>
      </c>
      <c r="L637" s="122"/>
    </row>
    <row r="638" spans="1:12" ht="39.75" customHeight="1" hidden="1">
      <c r="A638" s="27" t="s">
        <v>13</v>
      </c>
      <c r="B638" s="15" t="s">
        <v>30</v>
      </c>
      <c r="C638" s="27" t="s">
        <v>515</v>
      </c>
      <c r="D638" s="27" t="s">
        <v>476</v>
      </c>
      <c r="E638" s="28" t="s">
        <v>821</v>
      </c>
      <c r="F638" s="98"/>
      <c r="G638" s="120"/>
      <c r="H638" s="165"/>
      <c r="I638" s="120"/>
      <c r="J638" s="120">
        <v>0</v>
      </c>
      <c r="L638" s="122"/>
    </row>
    <row r="639" spans="1:12" ht="12.75" hidden="1">
      <c r="A639" s="62" t="s">
        <v>784</v>
      </c>
      <c r="B639" s="62" t="s">
        <v>530</v>
      </c>
      <c r="C639" s="62" t="s">
        <v>838</v>
      </c>
      <c r="D639" s="62"/>
      <c r="E639" s="64" t="s">
        <v>532</v>
      </c>
      <c r="F639" s="98"/>
      <c r="G639" s="120">
        <f>G640</f>
        <v>0</v>
      </c>
      <c r="H639" s="165"/>
      <c r="I639" s="120">
        <f>I640</f>
        <v>0</v>
      </c>
      <c r="J639" s="120">
        <f>J640</f>
        <v>0</v>
      </c>
      <c r="L639" s="122"/>
    </row>
    <row r="640" spans="1:12" ht="25.5" hidden="1">
      <c r="A640" s="27" t="s">
        <v>440</v>
      </c>
      <c r="B640" s="27">
        <v>150101</v>
      </c>
      <c r="C640" s="27" t="s">
        <v>839</v>
      </c>
      <c r="D640" s="27"/>
      <c r="E640" s="25" t="s">
        <v>140</v>
      </c>
      <c r="F640" s="98"/>
      <c r="G640" s="120">
        <f>G642</f>
        <v>0</v>
      </c>
      <c r="H640" s="165"/>
      <c r="I640" s="120">
        <f>I642</f>
        <v>0</v>
      </c>
      <c r="J640" s="120">
        <f>SUM(J641:J643)</f>
        <v>0</v>
      </c>
      <c r="L640" s="122"/>
    </row>
    <row r="641" spans="1:12" s="20" customFormat="1" ht="25.5" hidden="1">
      <c r="A641" s="27" t="s">
        <v>440</v>
      </c>
      <c r="B641" s="27">
        <v>150101</v>
      </c>
      <c r="C641" s="27" t="s">
        <v>839</v>
      </c>
      <c r="D641" s="27"/>
      <c r="E641" s="25" t="s">
        <v>140</v>
      </c>
      <c r="F641" s="100"/>
      <c r="G641" s="119"/>
      <c r="H641" s="164"/>
      <c r="I641" s="119"/>
      <c r="J641" s="119"/>
      <c r="K641" s="21"/>
      <c r="L641" s="122"/>
    </row>
    <row r="642" spans="1:12" s="20" customFormat="1" ht="25.5" hidden="1">
      <c r="A642" s="27" t="s">
        <v>440</v>
      </c>
      <c r="B642" s="27">
        <v>150101</v>
      </c>
      <c r="C642" s="27" t="s">
        <v>839</v>
      </c>
      <c r="D642" s="27" t="s">
        <v>478</v>
      </c>
      <c r="E642" s="25" t="s">
        <v>140</v>
      </c>
      <c r="F642" s="25" t="s">
        <v>1259</v>
      </c>
      <c r="G642" s="119"/>
      <c r="H642" s="164" t="e">
        <f>100-(I642/G642*100)</f>
        <v>#DIV/0!</v>
      </c>
      <c r="I642" s="119"/>
      <c r="J642" s="119"/>
      <c r="K642" s="21"/>
      <c r="L642" s="122"/>
    </row>
    <row r="643" spans="1:12" s="20" customFormat="1" ht="25.5" hidden="1">
      <c r="A643" s="27" t="s">
        <v>440</v>
      </c>
      <c r="B643" s="27">
        <v>150101</v>
      </c>
      <c r="C643" s="27" t="s">
        <v>839</v>
      </c>
      <c r="D643" s="27"/>
      <c r="E643" s="25" t="s">
        <v>140</v>
      </c>
      <c r="F643" s="100"/>
      <c r="G643" s="119"/>
      <c r="H643" s="164"/>
      <c r="I643" s="119"/>
      <c r="J643" s="119"/>
      <c r="K643" s="21"/>
      <c r="L643" s="122"/>
    </row>
    <row r="644" spans="1:12" ht="25.5" customHeight="1" hidden="1">
      <c r="A644" s="62" t="s">
        <v>785</v>
      </c>
      <c r="B644" s="62" t="s">
        <v>519</v>
      </c>
      <c r="C644" s="62" t="s">
        <v>841</v>
      </c>
      <c r="D644" s="62"/>
      <c r="E644" s="64" t="s">
        <v>521</v>
      </c>
      <c r="F644" s="98"/>
      <c r="G644" s="120"/>
      <c r="H644" s="165"/>
      <c r="I644" s="120"/>
      <c r="J644" s="120">
        <f>J645</f>
        <v>0</v>
      </c>
      <c r="L644" s="122"/>
    </row>
    <row r="645" spans="1:12" ht="27.75" customHeight="1" hidden="1">
      <c r="A645" s="27" t="s">
        <v>439</v>
      </c>
      <c r="B645" s="27" t="s">
        <v>71</v>
      </c>
      <c r="C645" s="27" t="s">
        <v>949</v>
      </c>
      <c r="D645" s="27"/>
      <c r="E645" s="25" t="s">
        <v>211</v>
      </c>
      <c r="F645" s="98"/>
      <c r="G645" s="120"/>
      <c r="H645" s="165"/>
      <c r="I645" s="120"/>
      <c r="J645" s="120">
        <v>0</v>
      </c>
      <c r="L645" s="122"/>
    </row>
    <row r="646" spans="1:12" ht="27.75" customHeight="1" hidden="1">
      <c r="A646" s="27"/>
      <c r="B646" s="27"/>
      <c r="C646" s="27"/>
      <c r="D646" s="27"/>
      <c r="E646" s="25"/>
      <c r="F646" s="98"/>
      <c r="G646" s="120"/>
      <c r="H646" s="165"/>
      <c r="I646" s="120"/>
      <c r="J646" s="120"/>
      <c r="L646" s="122"/>
    </row>
    <row r="647" spans="1:12" ht="27.75" customHeight="1" hidden="1">
      <c r="A647" s="27"/>
      <c r="B647" s="27"/>
      <c r="C647" s="27"/>
      <c r="D647" s="27"/>
      <c r="E647" s="25"/>
      <c r="F647" s="98"/>
      <c r="G647" s="120"/>
      <c r="H647" s="165"/>
      <c r="I647" s="120"/>
      <c r="J647" s="120"/>
      <c r="L647" s="122"/>
    </row>
    <row r="648" spans="1:12" ht="42.75" customHeight="1" hidden="1">
      <c r="A648" s="62" t="s">
        <v>589</v>
      </c>
      <c r="B648" s="62" t="s">
        <v>588</v>
      </c>
      <c r="C648" s="62" t="s">
        <v>950</v>
      </c>
      <c r="D648" s="62"/>
      <c r="E648" s="64" t="s">
        <v>591</v>
      </c>
      <c r="F648" s="98"/>
      <c r="G648" s="120"/>
      <c r="H648" s="165"/>
      <c r="I648" s="120"/>
      <c r="J648" s="120">
        <f>J649</f>
        <v>0</v>
      </c>
      <c r="L648" s="122"/>
    </row>
    <row r="649" spans="1:12" ht="27.75" customHeight="1" hidden="1">
      <c r="A649" s="62" t="s">
        <v>590</v>
      </c>
      <c r="B649" s="62"/>
      <c r="C649" s="62" t="s">
        <v>951</v>
      </c>
      <c r="D649" s="62"/>
      <c r="E649" s="64" t="s">
        <v>69</v>
      </c>
      <c r="F649" s="98"/>
      <c r="G649" s="120"/>
      <c r="H649" s="165"/>
      <c r="I649" s="120"/>
      <c r="J649" s="120">
        <f>J650</f>
        <v>0</v>
      </c>
      <c r="L649" s="122"/>
    </row>
    <row r="650" spans="1:12" ht="12.75" hidden="1">
      <c r="A650" s="27" t="s">
        <v>437</v>
      </c>
      <c r="B650" s="27" t="s">
        <v>436</v>
      </c>
      <c r="C650" s="27" t="s">
        <v>952</v>
      </c>
      <c r="D650" s="27" t="s">
        <v>489</v>
      </c>
      <c r="E650" s="28" t="s">
        <v>438</v>
      </c>
      <c r="F650" s="98"/>
      <c r="G650" s="120"/>
      <c r="H650" s="165"/>
      <c r="I650" s="120"/>
      <c r="J650" s="120">
        <v>0</v>
      </c>
      <c r="L650" s="122"/>
    </row>
    <row r="651" spans="1:12" ht="12.75" hidden="1">
      <c r="A651" s="57" t="s">
        <v>462</v>
      </c>
      <c r="B651" s="57" t="s">
        <v>444</v>
      </c>
      <c r="C651" s="57" t="s">
        <v>875</v>
      </c>
      <c r="D651" s="57"/>
      <c r="E651" s="59" t="s">
        <v>445</v>
      </c>
      <c r="F651" s="98"/>
      <c r="G651" s="120"/>
      <c r="H651" s="165"/>
      <c r="I651" s="120"/>
      <c r="J651" s="120">
        <f>J652</f>
        <v>0</v>
      </c>
      <c r="L651" s="122"/>
    </row>
    <row r="652" spans="1:12" ht="12.75" hidden="1">
      <c r="A652" s="27" t="s">
        <v>471</v>
      </c>
      <c r="B652" s="27" t="s">
        <v>444</v>
      </c>
      <c r="C652" s="27" t="s">
        <v>876</v>
      </c>
      <c r="D652" s="27" t="s">
        <v>488</v>
      </c>
      <c r="E652" s="44" t="s">
        <v>472</v>
      </c>
      <c r="F652" s="98"/>
      <c r="G652" s="120"/>
      <c r="H652" s="165"/>
      <c r="I652" s="120"/>
      <c r="J652" s="120">
        <v>0</v>
      </c>
      <c r="L652" s="122"/>
    </row>
    <row r="653" spans="1:12" ht="12.75" hidden="1">
      <c r="A653" s="62" t="s">
        <v>750</v>
      </c>
      <c r="B653" s="62" t="s">
        <v>535</v>
      </c>
      <c r="C653" s="62" t="s">
        <v>843</v>
      </c>
      <c r="D653" s="62"/>
      <c r="E653" s="63" t="s">
        <v>536</v>
      </c>
      <c r="F653" s="98"/>
      <c r="G653" s="120"/>
      <c r="H653" s="165"/>
      <c r="I653" s="120"/>
      <c r="J653" s="120">
        <f>J654</f>
        <v>0</v>
      </c>
      <c r="L653" s="122"/>
    </row>
    <row r="654" spans="1:12" ht="12.75" hidden="1">
      <c r="A654" s="57" t="s">
        <v>751</v>
      </c>
      <c r="B654" s="57" t="s">
        <v>50</v>
      </c>
      <c r="C654" s="57" t="s">
        <v>845</v>
      </c>
      <c r="D654" s="57"/>
      <c r="E654" s="74" t="s">
        <v>350</v>
      </c>
      <c r="F654" s="98"/>
      <c r="G654" s="120"/>
      <c r="H654" s="165"/>
      <c r="I654" s="120"/>
      <c r="J654" s="120">
        <f>J655</f>
        <v>0</v>
      </c>
      <c r="L654" s="122"/>
    </row>
    <row r="655" spans="1:12" ht="64.5" customHeight="1" hidden="1">
      <c r="A655" s="27" t="s">
        <v>393</v>
      </c>
      <c r="B655" s="27" t="s">
        <v>50</v>
      </c>
      <c r="C655" s="27" t="s">
        <v>847</v>
      </c>
      <c r="D655" s="27"/>
      <c r="E655" s="44" t="s">
        <v>366</v>
      </c>
      <c r="F655" s="98"/>
      <c r="G655" s="120"/>
      <c r="H655" s="165"/>
      <c r="I655" s="120"/>
      <c r="J655" s="120">
        <v>0</v>
      </c>
      <c r="L655" s="122"/>
    </row>
    <row r="656" spans="1:12" ht="39" customHeight="1">
      <c r="A656" s="31" t="s">
        <v>223</v>
      </c>
      <c r="B656" s="31" t="s">
        <v>128</v>
      </c>
      <c r="C656" s="31" t="s">
        <v>128</v>
      </c>
      <c r="D656" s="31"/>
      <c r="E656" s="33" t="s">
        <v>98</v>
      </c>
      <c r="F656" s="33"/>
      <c r="G656" s="153">
        <f>G657</f>
        <v>1126952309</v>
      </c>
      <c r="H656" s="172"/>
      <c r="I656" s="153">
        <f>I657</f>
        <v>1121941364</v>
      </c>
      <c r="J656" s="153">
        <f>J657</f>
        <v>344347300</v>
      </c>
      <c r="L656" s="122">
        <f>J656-'[1]Місто'!$P$411</f>
        <v>0</v>
      </c>
    </row>
    <row r="657" spans="1:12" ht="38.25">
      <c r="A657" s="27" t="s">
        <v>224</v>
      </c>
      <c r="B657" s="15"/>
      <c r="C657" s="15"/>
      <c r="D657" s="15"/>
      <c r="E657" s="28" t="s">
        <v>98</v>
      </c>
      <c r="F657" s="98"/>
      <c r="G657" s="120">
        <f>G658+G660+G669+G671+G675+G677+G681</f>
        <v>1126952309</v>
      </c>
      <c r="H657" s="165"/>
      <c r="I657" s="120">
        <f>I658+I660+I669+I671+I675+I677+I681</f>
        <v>1121941364</v>
      </c>
      <c r="J657" s="120">
        <f>J658+J660+J669+J671+J675+J677+J681</f>
        <v>344347300</v>
      </c>
      <c r="L657" s="122"/>
    </row>
    <row r="658" spans="1:12" ht="12.75" hidden="1">
      <c r="A658" s="62" t="s">
        <v>592</v>
      </c>
      <c r="B658" s="62" t="s">
        <v>567</v>
      </c>
      <c r="C658" s="62" t="s">
        <v>833</v>
      </c>
      <c r="D658" s="62"/>
      <c r="E658" s="63" t="s">
        <v>569</v>
      </c>
      <c r="F658" s="98"/>
      <c r="G658" s="120"/>
      <c r="H658" s="165"/>
      <c r="I658" s="120"/>
      <c r="J658" s="120">
        <f>J659</f>
        <v>0</v>
      </c>
      <c r="L658" s="122"/>
    </row>
    <row r="659" spans="1:12" ht="26.25" customHeight="1" hidden="1">
      <c r="A659" s="27" t="s">
        <v>14</v>
      </c>
      <c r="B659" s="15" t="s">
        <v>30</v>
      </c>
      <c r="C659" s="27" t="s">
        <v>515</v>
      </c>
      <c r="D659" s="27" t="s">
        <v>476</v>
      </c>
      <c r="E659" s="28" t="s">
        <v>822</v>
      </c>
      <c r="F659" s="98"/>
      <c r="G659" s="120"/>
      <c r="H659" s="165"/>
      <c r="I659" s="120"/>
      <c r="J659" s="155">
        <v>0</v>
      </c>
      <c r="L659" s="122"/>
    </row>
    <row r="660" spans="1:12" ht="13.5" customHeight="1">
      <c r="A660" s="62" t="s">
        <v>595</v>
      </c>
      <c r="B660" s="62" t="s">
        <v>530</v>
      </c>
      <c r="C660" s="62" t="s">
        <v>838</v>
      </c>
      <c r="D660" s="62"/>
      <c r="E660" s="63" t="s">
        <v>532</v>
      </c>
      <c r="F660" s="98"/>
      <c r="G660" s="120">
        <f>G661</f>
        <v>1126952309</v>
      </c>
      <c r="H660" s="164"/>
      <c r="I660" s="120">
        <f>I661</f>
        <v>1121941364</v>
      </c>
      <c r="J660" s="120">
        <f>J661</f>
        <v>241556346</v>
      </c>
      <c r="L660" s="122"/>
    </row>
    <row r="661" spans="1:12" ht="29.25" customHeight="1">
      <c r="A661" s="77" t="s">
        <v>405</v>
      </c>
      <c r="B661" s="77">
        <v>150101</v>
      </c>
      <c r="C661" s="77" t="s">
        <v>839</v>
      </c>
      <c r="D661" s="77" t="s">
        <v>478</v>
      </c>
      <c r="E661" s="140" t="s">
        <v>140</v>
      </c>
      <c r="F661" s="142"/>
      <c r="G661" s="151">
        <f>SUM(G662:G667)</f>
        <v>1126952309</v>
      </c>
      <c r="H661" s="163"/>
      <c r="I661" s="151">
        <f>SUM(I662:I667)</f>
        <v>1121941364</v>
      </c>
      <c r="J661" s="151">
        <f>SUM(J662:J667)</f>
        <v>241556346</v>
      </c>
      <c r="L661" s="122"/>
    </row>
    <row r="662" spans="1:12" s="20" customFormat="1" ht="25.5">
      <c r="A662" s="27" t="s">
        <v>405</v>
      </c>
      <c r="B662" s="27">
        <v>150101</v>
      </c>
      <c r="C662" s="27" t="s">
        <v>839</v>
      </c>
      <c r="D662" s="27" t="s">
        <v>478</v>
      </c>
      <c r="E662" s="25" t="s">
        <v>140</v>
      </c>
      <c r="F662" s="25" t="s">
        <v>1092</v>
      </c>
      <c r="G662" s="120">
        <v>2571658</v>
      </c>
      <c r="H662" s="164">
        <f aca="true" t="shared" si="11" ref="H662:H667">100-(I662/G662*100)</f>
        <v>0</v>
      </c>
      <c r="I662" s="120">
        <v>2571658</v>
      </c>
      <c r="J662" s="120">
        <f>1571658+874972</f>
        <v>2446630</v>
      </c>
      <c r="K662" s="21"/>
      <c r="L662" s="122"/>
    </row>
    <row r="663" spans="1:12" s="20" customFormat="1" ht="25.5">
      <c r="A663" s="27" t="s">
        <v>405</v>
      </c>
      <c r="B663" s="27">
        <v>150101</v>
      </c>
      <c r="C663" s="27" t="s">
        <v>839</v>
      </c>
      <c r="D663" s="27" t="s">
        <v>478</v>
      </c>
      <c r="E663" s="25" t="s">
        <v>140</v>
      </c>
      <c r="F663" s="25" t="s">
        <v>1093</v>
      </c>
      <c r="G663" s="120">
        <v>607481888</v>
      </c>
      <c r="H663" s="164">
        <f t="shared" si="11"/>
        <v>0.16713584718431207</v>
      </c>
      <c r="I663" s="120">
        <v>606466568</v>
      </c>
      <c r="J663" s="120">
        <f>200000000-20000000-40000000-7868362-1000000</f>
        <v>131131638</v>
      </c>
      <c r="K663" s="21"/>
      <c r="L663" s="122"/>
    </row>
    <row r="664" spans="1:12" s="20" customFormat="1" ht="51">
      <c r="A664" s="27" t="s">
        <v>405</v>
      </c>
      <c r="B664" s="27">
        <v>150101</v>
      </c>
      <c r="C664" s="27" t="s">
        <v>839</v>
      </c>
      <c r="D664" s="27" t="s">
        <v>478</v>
      </c>
      <c r="E664" s="25" t="s">
        <v>140</v>
      </c>
      <c r="F664" s="25" t="s">
        <v>1263</v>
      </c>
      <c r="G664" s="120">
        <v>5299058</v>
      </c>
      <c r="H664" s="164">
        <f t="shared" si="11"/>
        <v>68.82968633292936</v>
      </c>
      <c r="I664" s="120">
        <v>1651733</v>
      </c>
      <c r="J664" s="120">
        <v>605329</v>
      </c>
      <c r="K664" s="21"/>
      <c r="L664" s="122"/>
    </row>
    <row r="665" spans="1:12" s="20" customFormat="1" ht="38.25">
      <c r="A665" s="27" t="s">
        <v>405</v>
      </c>
      <c r="B665" s="27">
        <v>150101</v>
      </c>
      <c r="C665" s="27" t="s">
        <v>839</v>
      </c>
      <c r="D665" s="27" t="s">
        <v>478</v>
      </c>
      <c r="E665" s="25" t="s">
        <v>140</v>
      </c>
      <c r="F665" s="25" t="s">
        <v>1094</v>
      </c>
      <c r="G665" s="120">
        <v>58008938</v>
      </c>
      <c r="H665" s="164">
        <f t="shared" si="11"/>
        <v>0.6004247138604768</v>
      </c>
      <c r="I665" s="120">
        <v>57660638</v>
      </c>
      <c r="J665" s="120">
        <v>5000000</v>
      </c>
      <c r="K665" s="21"/>
      <c r="L665" s="122"/>
    </row>
    <row r="666" spans="1:12" s="20" customFormat="1" ht="25.5">
      <c r="A666" s="27" t="s">
        <v>405</v>
      </c>
      <c r="B666" s="27">
        <v>150101</v>
      </c>
      <c r="C666" s="27" t="s">
        <v>839</v>
      </c>
      <c r="D666" s="27" t="s">
        <v>478</v>
      </c>
      <c r="E666" s="25" t="s">
        <v>140</v>
      </c>
      <c r="F666" s="25" t="s">
        <v>1238</v>
      </c>
      <c r="G666" s="120">
        <f>453590767-G667</f>
        <v>452437713</v>
      </c>
      <c r="H666" s="164">
        <f t="shared" si="11"/>
        <v>0</v>
      </c>
      <c r="I666" s="120">
        <f>453590767-I667</f>
        <v>452437713</v>
      </c>
      <c r="J666" s="120">
        <f>195972000-45972000-27627251-20000000-J667</f>
        <v>101219695</v>
      </c>
      <c r="K666" s="21"/>
      <c r="L666" s="122"/>
    </row>
    <row r="667" spans="1:12" s="20" customFormat="1" ht="51">
      <c r="A667" s="27" t="s">
        <v>405</v>
      </c>
      <c r="B667" s="27">
        <v>150101</v>
      </c>
      <c r="C667" s="27" t="s">
        <v>839</v>
      </c>
      <c r="D667" s="27" t="s">
        <v>478</v>
      </c>
      <c r="E667" s="25" t="s">
        <v>140</v>
      </c>
      <c r="F667" s="25" t="s">
        <v>1352</v>
      </c>
      <c r="G667" s="120">
        <v>1153054</v>
      </c>
      <c r="H667" s="164">
        <f t="shared" si="11"/>
        <v>0</v>
      </c>
      <c r="I667" s="120">
        <v>1153054</v>
      </c>
      <c r="J667" s="120">
        <v>1153054</v>
      </c>
      <c r="K667" s="21"/>
      <c r="L667" s="122"/>
    </row>
    <row r="668" spans="1:12" s="20" customFormat="1" ht="12.75" hidden="1">
      <c r="A668" s="27"/>
      <c r="B668" s="27"/>
      <c r="C668" s="27"/>
      <c r="D668" s="27"/>
      <c r="E668" s="25"/>
      <c r="F668" s="25"/>
      <c r="G668" s="120"/>
      <c r="H668" s="164"/>
      <c r="I668" s="120"/>
      <c r="J668" s="120"/>
      <c r="K668" s="21"/>
      <c r="L668" s="122"/>
    </row>
    <row r="669" spans="1:12" ht="25.5" hidden="1">
      <c r="A669" s="62" t="s">
        <v>596</v>
      </c>
      <c r="B669" s="62" t="s">
        <v>544</v>
      </c>
      <c r="C669" s="62" t="s">
        <v>944</v>
      </c>
      <c r="D669" s="62"/>
      <c r="E669" s="64" t="s">
        <v>565</v>
      </c>
      <c r="F669" s="98"/>
      <c r="G669" s="120"/>
      <c r="H669" s="165"/>
      <c r="I669" s="120"/>
      <c r="J669" s="120">
        <f>J670</f>
        <v>0</v>
      </c>
      <c r="L669" s="122"/>
    </row>
    <row r="670" spans="1:12" ht="12.75" hidden="1">
      <c r="A670" s="27" t="s">
        <v>414</v>
      </c>
      <c r="B670" s="15" t="s">
        <v>85</v>
      </c>
      <c r="C670" s="27" t="s">
        <v>953</v>
      </c>
      <c r="D670" s="27" t="s">
        <v>513</v>
      </c>
      <c r="E670" s="14" t="s">
        <v>88</v>
      </c>
      <c r="F670" s="98"/>
      <c r="G670" s="120"/>
      <c r="H670" s="165"/>
      <c r="I670" s="120"/>
      <c r="J670" s="120">
        <v>0</v>
      </c>
      <c r="L670" s="122"/>
    </row>
    <row r="671" spans="1:12" ht="25.5" customHeight="1">
      <c r="A671" s="15" t="s">
        <v>226</v>
      </c>
      <c r="B671" s="15" t="s">
        <v>286</v>
      </c>
      <c r="C671" s="15" t="s">
        <v>954</v>
      </c>
      <c r="D671" s="15"/>
      <c r="E671" s="14" t="s">
        <v>351</v>
      </c>
      <c r="F671" s="98"/>
      <c r="G671" s="120"/>
      <c r="H671" s="165"/>
      <c r="I671" s="120"/>
      <c r="J671" s="120">
        <f>SUM(J672:J674)</f>
        <v>30124791</v>
      </c>
      <c r="L671" s="122"/>
    </row>
    <row r="672" spans="1:12" s="194" customFormat="1" ht="27.75" customHeight="1" hidden="1">
      <c r="A672" s="189" t="s">
        <v>326</v>
      </c>
      <c r="B672" s="189" t="s">
        <v>286</v>
      </c>
      <c r="C672" s="189" t="s">
        <v>955</v>
      </c>
      <c r="D672" s="189" t="s">
        <v>512</v>
      </c>
      <c r="E672" s="190" t="s">
        <v>227</v>
      </c>
      <c r="F672" s="191"/>
      <c r="G672" s="192"/>
      <c r="H672" s="193"/>
      <c r="I672" s="192"/>
      <c r="J672" s="192">
        <v>0</v>
      </c>
      <c r="L672" s="195"/>
    </row>
    <row r="673" spans="1:12" s="194" customFormat="1" ht="27.75" customHeight="1" hidden="1">
      <c r="A673" s="189" t="s">
        <v>406</v>
      </c>
      <c r="B673" s="189" t="s">
        <v>286</v>
      </c>
      <c r="C673" s="189" t="s">
        <v>956</v>
      </c>
      <c r="D673" s="189" t="s">
        <v>512</v>
      </c>
      <c r="E673" s="190" t="s">
        <v>407</v>
      </c>
      <c r="F673" s="191" t="s">
        <v>1110</v>
      </c>
      <c r="G673" s="192"/>
      <c r="H673" s="193"/>
      <c r="I673" s="192"/>
      <c r="J673" s="192">
        <f>'[1]Місто'!$P$421</f>
        <v>21256429</v>
      </c>
      <c r="L673" s="195"/>
    </row>
    <row r="674" spans="1:12" s="194" customFormat="1" ht="27.75" customHeight="1" hidden="1">
      <c r="A674" s="189" t="s">
        <v>735</v>
      </c>
      <c r="B674" s="189" t="s">
        <v>286</v>
      </c>
      <c r="C674" s="189" t="s">
        <v>957</v>
      </c>
      <c r="D674" s="189" t="s">
        <v>512</v>
      </c>
      <c r="E674" s="190" t="s">
        <v>736</v>
      </c>
      <c r="F674" s="191"/>
      <c r="G674" s="192"/>
      <c r="H674" s="193"/>
      <c r="I674" s="192"/>
      <c r="J674" s="192">
        <f>'[1]Місто'!$P$422</f>
        <v>8868362</v>
      </c>
      <c r="L674" s="195"/>
    </row>
    <row r="675" spans="1:12" ht="27.75" customHeight="1" hidden="1">
      <c r="A675" s="51" t="s">
        <v>432</v>
      </c>
      <c r="B675" s="51" t="s">
        <v>426</v>
      </c>
      <c r="C675" s="51" t="s">
        <v>958</v>
      </c>
      <c r="D675" s="51"/>
      <c r="E675" s="55" t="s">
        <v>433</v>
      </c>
      <c r="F675" s="98"/>
      <c r="G675" s="120"/>
      <c r="H675" s="165"/>
      <c r="I675" s="120"/>
      <c r="J675" s="120">
        <f>J676</f>
        <v>0</v>
      </c>
      <c r="L675" s="122"/>
    </row>
    <row r="676" spans="1:12" ht="25.5" customHeight="1" hidden="1">
      <c r="A676" s="29" t="s">
        <v>434</v>
      </c>
      <c r="B676" s="29" t="s">
        <v>426</v>
      </c>
      <c r="C676" s="29" t="s">
        <v>959</v>
      </c>
      <c r="D676" s="29"/>
      <c r="E676" s="44" t="s">
        <v>435</v>
      </c>
      <c r="F676" s="98"/>
      <c r="G676" s="120"/>
      <c r="H676" s="165"/>
      <c r="I676" s="120"/>
      <c r="J676" s="120">
        <v>0</v>
      </c>
      <c r="L676" s="122"/>
    </row>
    <row r="677" spans="1:12" ht="25.5" customHeight="1">
      <c r="A677" s="62" t="s">
        <v>597</v>
      </c>
      <c r="B677" s="61" t="s">
        <v>519</v>
      </c>
      <c r="C677" s="61" t="s">
        <v>841</v>
      </c>
      <c r="D677" s="61"/>
      <c r="E677" s="69" t="s">
        <v>521</v>
      </c>
      <c r="F677" s="98"/>
      <c r="G677" s="120"/>
      <c r="H677" s="165"/>
      <c r="I677" s="120"/>
      <c r="J677" s="120">
        <f>J678</f>
        <v>72666163</v>
      </c>
      <c r="L677" s="122">
        <v>0</v>
      </c>
    </row>
    <row r="678" spans="1:12" ht="29.25" customHeight="1">
      <c r="A678" s="27" t="s">
        <v>463</v>
      </c>
      <c r="B678" s="15" t="s">
        <v>71</v>
      </c>
      <c r="C678" s="27" t="s">
        <v>842</v>
      </c>
      <c r="D678" s="27" t="s">
        <v>478</v>
      </c>
      <c r="E678" s="25" t="s">
        <v>211</v>
      </c>
      <c r="F678" s="98"/>
      <c r="G678" s="120"/>
      <c r="H678" s="165"/>
      <c r="I678" s="120"/>
      <c r="J678" s="120">
        <f>'[1]Місто'!$P$426</f>
        <v>72666163</v>
      </c>
      <c r="L678" s="122"/>
    </row>
    <row r="679" spans="1:12" ht="89.25">
      <c r="A679" s="27"/>
      <c r="B679" s="15"/>
      <c r="C679" s="15"/>
      <c r="D679" s="27"/>
      <c r="E679" s="25"/>
      <c r="F679" s="25" t="s">
        <v>1343</v>
      </c>
      <c r="G679" s="120"/>
      <c r="H679" s="165"/>
      <c r="I679" s="120"/>
      <c r="J679" s="120">
        <f>73323350+508360-1165547</f>
        <v>72666163</v>
      </c>
      <c r="L679" s="122"/>
    </row>
    <row r="680" spans="1:12" ht="29.25" customHeight="1" hidden="1">
      <c r="A680" s="27"/>
      <c r="B680" s="15"/>
      <c r="C680" s="15"/>
      <c r="D680" s="27"/>
      <c r="E680" s="25"/>
      <c r="F680" s="98"/>
      <c r="G680" s="120"/>
      <c r="H680" s="165"/>
      <c r="I680" s="120"/>
      <c r="J680" s="120"/>
      <c r="L680" s="122"/>
    </row>
    <row r="681" spans="1:12" ht="12.75" hidden="1">
      <c r="A681" s="62" t="s">
        <v>750</v>
      </c>
      <c r="B681" s="62" t="s">
        <v>535</v>
      </c>
      <c r="C681" s="62" t="s">
        <v>843</v>
      </c>
      <c r="D681" s="62"/>
      <c r="E681" s="63" t="s">
        <v>536</v>
      </c>
      <c r="F681" s="98"/>
      <c r="G681" s="120"/>
      <c r="H681" s="165"/>
      <c r="I681" s="120"/>
      <c r="J681" s="120">
        <f>J682</f>
        <v>0</v>
      </c>
      <c r="L681" s="122"/>
    </row>
    <row r="682" spans="1:12" ht="12.75" hidden="1">
      <c r="A682" s="48" t="s">
        <v>375</v>
      </c>
      <c r="B682" s="48" t="s">
        <v>50</v>
      </c>
      <c r="C682" s="48" t="s">
        <v>845</v>
      </c>
      <c r="D682" s="48"/>
      <c r="E682" s="54" t="s">
        <v>350</v>
      </c>
      <c r="F682" s="98"/>
      <c r="G682" s="120"/>
      <c r="H682" s="165"/>
      <c r="I682" s="120"/>
      <c r="J682" s="120">
        <f>J683+J684</f>
        <v>0</v>
      </c>
      <c r="L682" s="122"/>
    </row>
    <row r="683" spans="1:12" ht="51" hidden="1">
      <c r="A683" s="6" t="s">
        <v>374</v>
      </c>
      <c r="B683" s="6" t="s">
        <v>50</v>
      </c>
      <c r="C683" s="6" t="s">
        <v>847</v>
      </c>
      <c r="D683" s="6"/>
      <c r="E683" s="44" t="s">
        <v>366</v>
      </c>
      <c r="F683" s="98"/>
      <c r="G683" s="120"/>
      <c r="H683" s="165"/>
      <c r="I683" s="120"/>
      <c r="J683" s="120"/>
      <c r="L683" s="122"/>
    </row>
    <row r="684" spans="1:12" ht="38.25" hidden="1">
      <c r="A684" s="6" t="s">
        <v>419</v>
      </c>
      <c r="B684" s="6" t="s">
        <v>50</v>
      </c>
      <c r="C684" s="6" t="s">
        <v>851</v>
      </c>
      <c r="D684" s="6"/>
      <c r="E684" s="25" t="s">
        <v>276</v>
      </c>
      <c r="F684" s="98"/>
      <c r="G684" s="120"/>
      <c r="H684" s="165"/>
      <c r="I684" s="120"/>
      <c r="J684" s="120"/>
      <c r="L684" s="122"/>
    </row>
    <row r="685" spans="1:12" ht="38.25" hidden="1">
      <c r="A685" s="31" t="s">
        <v>228</v>
      </c>
      <c r="B685" s="31" t="s">
        <v>123</v>
      </c>
      <c r="C685" s="31" t="s">
        <v>123</v>
      </c>
      <c r="D685" s="31"/>
      <c r="E685" s="30" t="s">
        <v>97</v>
      </c>
      <c r="F685" s="30"/>
      <c r="G685" s="150">
        <f>G686</f>
        <v>0</v>
      </c>
      <c r="H685" s="166"/>
      <c r="I685" s="150">
        <f>I686</f>
        <v>0</v>
      </c>
      <c r="J685" s="150">
        <f>J686</f>
        <v>0</v>
      </c>
      <c r="L685" s="122">
        <v>0</v>
      </c>
    </row>
    <row r="686" spans="1:12" ht="38.25" hidden="1">
      <c r="A686" s="29" t="s">
        <v>229</v>
      </c>
      <c r="B686" s="18"/>
      <c r="C686" s="18"/>
      <c r="D686" s="18"/>
      <c r="E686" s="26" t="s">
        <v>97</v>
      </c>
      <c r="F686" s="98"/>
      <c r="G686" s="120">
        <f>G687+G689</f>
        <v>0</v>
      </c>
      <c r="H686" s="165"/>
      <c r="I686" s="120">
        <f>I687+I689</f>
        <v>0</v>
      </c>
      <c r="J686" s="120">
        <f>J687+J689</f>
        <v>0</v>
      </c>
      <c r="L686" s="122"/>
    </row>
    <row r="687" spans="1:12" ht="12.75" hidden="1">
      <c r="A687" s="62" t="s">
        <v>598</v>
      </c>
      <c r="B687" s="61" t="s">
        <v>567</v>
      </c>
      <c r="C687" s="61" t="s">
        <v>833</v>
      </c>
      <c r="D687" s="61"/>
      <c r="E687" s="72" t="s">
        <v>569</v>
      </c>
      <c r="F687" s="98"/>
      <c r="G687" s="120"/>
      <c r="H687" s="165"/>
      <c r="I687" s="120"/>
      <c r="J687" s="120">
        <f>J688</f>
        <v>0</v>
      </c>
      <c r="L687" s="122"/>
    </row>
    <row r="688" spans="1:12" ht="38.25" hidden="1">
      <c r="A688" s="27" t="s">
        <v>15</v>
      </c>
      <c r="B688" s="15" t="s">
        <v>30</v>
      </c>
      <c r="C688" s="27" t="s">
        <v>515</v>
      </c>
      <c r="D688" s="27" t="s">
        <v>476</v>
      </c>
      <c r="E688" s="28" t="s">
        <v>265</v>
      </c>
      <c r="F688" s="98"/>
      <c r="G688" s="120"/>
      <c r="H688" s="165"/>
      <c r="I688" s="120"/>
      <c r="J688" s="120">
        <v>0</v>
      </c>
      <c r="L688" s="122"/>
    </row>
    <row r="689" spans="1:12" ht="25.5" hidden="1">
      <c r="A689" s="62" t="s">
        <v>600</v>
      </c>
      <c r="B689" s="62" t="s">
        <v>599</v>
      </c>
      <c r="C689" s="62" t="s">
        <v>960</v>
      </c>
      <c r="D689" s="62"/>
      <c r="E689" s="63" t="s">
        <v>601</v>
      </c>
      <c r="F689" s="98"/>
      <c r="G689" s="120"/>
      <c r="H689" s="165"/>
      <c r="I689" s="120"/>
      <c r="J689" s="120">
        <f>J690+J691+J692</f>
        <v>0</v>
      </c>
      <c r="L689" s="122"/>
    </row>
    <row r="690" spans="1:12" s="20" customFormat="1" ht="38.25" hidden="1">
      <c r="A690" s="27" t="s">
        <v>327</v>
      </c>
      <c r="B690" s="15" t="s">
        <v>49</v>
      </c>
      <c r="C690" s="27" t="s">
        <v>961</v>
      </c>
      <c r="D690" s="27" t="s">
        <v>514</v>
      </c>
      <c r="E690" s="25" t="s">
        <v>26</v>
      </c>
      <c r="F690" s="100"/>
      <c r="G690" s="119"/>
      <c r="H690" s="164"/>
      <c r="I690" s="119"/>
      <c r="J690" s="119">
        <v>0</v>
      </c>
      <c r="L690" s="122"/>
    </row>
    <row r="691" spans="1:12" s="20" customFormat="1" ht="40.5" customHeight="1" hidden="1">
      <c r="A691" s="27" t="s">
        <v>786</v>
      </c>
      <c r="B691" s="27" t="s">
        <v>789</v>
      </c>
      <c r="C691" s="27" t="s">
        <v>962</v>
      </c>
      <c r="D691" s="27" t="s">
        <v>787</v>
      </c>
      <c r="E691" s="25" t="s">
        <v>788</v>
      </c>
      <c r="F691" s="100"/>
      <c r="G691" s="119"/>
      <c r="H691" s="164"/>
      <c r="I691" s="119"/>
      <c r="J691" s="119">
        <v>0</v>
      </c>
      <c r="L691" s="122"/>
    </row>
    <row r="692" spans="1:12" ht="12.75" hidden="1">
      <c r="A692" s="27" t="s">
        <v>16</v>
      </c>
      <c r="B692" s="15">
        <v>210110</v>
      </c>
      <c r="C692" s="27" t="s">
        <v>963</v>
      </c>
      <c r="D692" s="27" t="s">
        <v>514</v>
      </c>
      <c r="E692" s="25" t="s">
        <v>230</v>
      </c>
      <c r="F692" s="98"/>
      <c r="G692" s="120"/>
      <c r="H692" s="165"/>
      <c r="I692" s="120"/>
      <c r="J692" s="120">
        <v>0</v>
      </c>
      <c r="L692" s="122"/>
    </row>
    <row r="693" spans="1:12" ht="25.5" hidden="1">
      <c r="A693" s="31" t="s">
        <v>231</v>
      </c>
      <c r="B693" s="31" t="s">
        <v>134</v>
      </c>
      <c r="C693" s="31" t="s">
        <v>134</v>
      </c>
      <c r="D693" s="31"/>
      <c r="E693" s="33" t="s">
        <v>109</v>
      </c>
      <c r="F693" s="33"/>
      <c r="G693" s="153">
        <f>G694</f>
        <v>0</v>
      </c>
      <c r="H693" s="172"/>
      <c r="I693" s="153">
        <f>I694</f>
        <v>0</v>
      </c>
      <c r="J693" s="153">
        <f>J694</f>
        <v>0</v>
      </c>
      <c r="L693" s="122">
        <f>J693-'[1]Місто'!$P$441</f>
        <v>0</v>
      </c>
    </row>
    <row r="694" spans="1:12" ht="25.5" hidden="1">
      <c r="A694" s="29" t="s">
        <v>232</v>
      </c>
      <c r="B694" s="18"/>
      <c r="C694" s="18"/>
      <c r="D694" s="18"/>
      <c r="E694" s="26" t="s">
        <v>109</v>
      </c>
      <c r="F694" s="98"/>
      <c r="G694" s="120">
        <f>G695+G697+G704+G708+G701</f>
        <v>0</v>
      </c>
      <c r="H694" s="165"/>
      <c r="I694" s="120">
        <f>I695+I697+I704+I708+I701</f>
        <v>0</v>
      </c>
      <c r="J694" s="120">
        <f>J695+J697+J704+J708+J701</f>
        <v>0</v>
      </c>
      <c r="L694" s="122"/>
    </row>
    <row r="695" spans="1:12" ht="12.75" hidden="1">
      <c r="A695" s="62" t="s">
        <v>602</v>
      </c>
      <c r="B695" s="61" t="s">
        <v>567</v>
      </c>
      <c r="C695" s="61" t="s">
        <v>833</v>
      </c>
      <c r="D695" s="61"/>
      <c r="E695" s="72" t="s">
        <v>569</v>
      </c>
      <c r="F695" s="98"/>
      <c r="G695" s="120"/>
      <c r="H695" s="165"/>
      <c r="I695" s="120"/>
      <c r="J695" s="120">
        <f>J696</f>
        <v>0</v>
      </c>
      <c r="L695" s="122"/>
    </row>
    <row r="696" spans="1:12" ht="27.75" customHeight="1" hidden="1">
      <c r="A696" s="27" t="s">
        <v>17</v>
      </c>
      <c r="B696" s="15" t="s">
        <v>30</v>
      </c>
      <c r="C696" s="27" t="s">
        <v>515</v>
      </c>
      <c r="D696" s="27" t="s">
        <v>476</v>
      </c>
      <c r="E696" s="28" t="s">
        <v>266</v>
      </c>
      <c r="F696" s="98"/>
      <c r="G696" s="120"/>
      <c r="H696" s="165"/>
      <c r="I696" s="120"/>
      <c r="J696" s="120">
        <v>0</v>
      </c>
      <c r="L696" s="122"/>
    </row>
    <row r="697" spans="1:12" ht="12.75" hidden="1">
      <c r="A697" s="62" t="s">
        <v>603</v>
      </c>
      <c r="B697" s="62" t="s">
        <v>530</v>
      </c>
      <c r="C697" s="62" t="s">
        <v>838</v>
      </c>
      <c r="D697" s="62"/>
      <c r="E697" s="63" t="s">
        <v>532</v>
      </c>
      <c r="F697" s="98"/>
      <c r="G697" s="120">
        <f>G698</f>
        <v>0</v>
      </c>
      <c r="H697" s="165"/>
      <c r="I697" s="120">
        <f>I698</f>
        <v>0</v>
      </c>
      <c r="J697" s="120">
        <f>J698</f>
        <v>0</v>
      </c>
      <c r="L697" s="122"/>
    </row>
    <row r="698" spans="1:12" ht="25.5" hidden="1">
      <c r="A698" s="27" t="s">
        <v>233</v>
      </c>
      <c r="B698" s="15" t="s">
        <v>63</v>
      </c>
      <c r="C698" s="27" t="s">
        <v>839</v>
      </c>
      <c r="D698" s="27" t="s">
        <v>478</v>
      </c>
      <c r="E698" s="25" t="s">
        <v>140</v>
      </c>
      <c r="F698" s="98"/>
      <c r="G698" s="120">
        <f>SUM(G699:G700)</f>
        <v>0</v>
      </c>
      <c r="H698" s="165"/>
      <c r="I698" s="120">
        <f>SUM(I699:I700)</f>
        <v>0</v>
      </c>
      <c r="J698" s="120">
        <f>SUM(J699:J700)</f>
        <v>0</v>
      </c>
      <c r="L698" s="122"/>
    </row>
    <row r="699" spans="1:12" s="20" customFormat="1" ht="12.75" hidden="1">
      <c r="A699" s="27"/>
      <c r="B699" s="15"/>
      <c r="C699" s="15"/>
      <c r="D699" s="27"/>
      <c r="E699" s="25"/>
      <c r="F699" s="100"/>
      <c r="G699" s="119"/>
      <c r="H699" s="164"/>
      <c r="I699" s="119"/>
      <c r="J699" s="119"/>
      <c r="K699" s="21"/>
      <c r="L699" s="122"/>
    </row>
    <row r="700" spans="1:12" s="20" customFormat="1" ht="12.75" hidden="1">
      <c r="A700" s="27"/>
      <c r="B700" s="15"/>
      <c r="C700" s="15"/>
      <c r="D700" s="27"/>
      <c r="E700" s="25"/>
      <c r="F700" s="100"/>
      <c r="G700" s="119"/>
      <c r="H700" s="164"/>
      <c r="I700" s="119"/>
      <c r="J700" s="119"/>
      <c r="K700" s="21"/>
      <c r="L700" s="122"/>
    </row>
    <row r="701" spans="1:12" ht="51" hidden="1">
      <c r="A701" s="27" t="s">
        <v>328</v>
      </c>
      <c r="B701" s="15" t="s">
        <v>70</v>
      </c>
      <c r="C701" s="27" t="s">
        <v>941</v>
      </c>
      <c r="D701" s="27" t="s">
        <v>509</v>
      </c>
      <c r="E701" s="28" t="s">
        <v>234</v>
      </c>
      <c r="F701" s="98"/>
      <c r="G701" s="120">
        <f>SUM(G702:G703)</f>
        <v>0</v>
      </c>
      <c r="H701" s="165"/>
      <c r="I701" s="120">
        <f>SUM(I702:I703)</f>
        <v>0</v>
      </c>
      <c r="J701" s="120">
        <f>SUM(J702:J703)</f>
        <v>0</v>
      </c>
      <c r="L701" s="122"/>
    </row>
    <row r="702" spans="1:12" s="20" customFormat="1" ht="12.75" hidden="1">
      <c r="A702" s="27"/>
      <c r="B702" s="27"/>
      <c r="C702" s="27"/>
      <c r="D702" s="27"/>
      <c r="E702" s="25"/>
      <c r="F702" s="100"/>
      <c r="G702" s="119"/>
      <c r="H702" s="164"/>
      <c r="I702" s="119"/>
      <c r="J702" s="119"/>
      <c r="K702" s="21"/>
      <c r="L702" s="122"/>
    </row>
    <row r="703" spans="1:12" s="20" customFormat="1" ht="12.75" hidden="1">
      <c r="A703" s="27"/>
      <c r="B703" s="27"/>
      <c r="C703" s="27"/>
      <c r="D703" s="27"/>
      <c r="E703" s="25"/>
      <c r="F703" s="100"/>
      <c r="G703" s="119"/>
      <c r="H703" s="164"/>
      <c r="I703" s="119"/>
      <c r="J703" s="119"/>
      <c r="K703" s="21"/>
      <c r="L703" s="122"/>
    </row>
    <row r="704" spans="1:12" ht="25.5" hidden="1">
      <c r="A704" s="62" t="s">
        <v>645</v>
      </c>
      <c r="B704" s="61" t="s">
        <v>519</v>
      </c>
      <c r="C704" s="61" t="s">
        <v>841</v>
      </c>
      <c r="D704" s="61"/>
      <c r="E704" s="69" t="s">
        <v>521</v>
      </c>
      <c r="F704" s="98"/>
      <c r="G704" s="120"/>
      <c r="H704" s="165"/>
      <c r="I704" s="120"/>
      <c r="J704" s="120">
        <f>J705</f>
        <v>0</v>
      </c>
      <c r="L704" s="122"/>
    </row>
    <row r="705" spans="1:12" ht="25.5" hidden="1">
      <c r="A705" s="27" t="s">
        <v>646</v>
      </c>
      <c r="B705" s="15" t="s">
        <v>71</v>
      </c>
      <c r="C705" s="27" t="s">
        <v>842</v>
      </c>
      <c r="D705" s="27" t="s">
        <v>478</v>
      </c>
      <c r="E705" s="25" t="s">
        <v>211</v>
      </c>
      <c r="F705" s="98"/>
      <c r="G705" s="120"/>
      <c r="H705" s="165"/>
      <c r="I705" s="120"/>
      <c r="J705" s="120">
        <f>'[1]Місто'!$P$449</f>
        <v>0</v>
      </c>
      <c r="L705" s="122"/>
    </row>
    <row r="706" spans="1:12" ht="12.75" hidden="1">
      <c r="A706" s="27"/>
      <c r="B706" s="15"/>
      <c r="C706" s="15"/>
      <c r="D706" s="27"/>
      <c r="E706" s="25"/>
      <c r="F706" s="126" t="s">
        <v>1370</v>
      </c>
      <c r="G706" s="120"/>
      <c r="H706" s="165"/>
      <c r="I706" s="120"/>
      <c r="J706" s="120"/>
      <c r="L706" s="122"/>
    </row>
    <row r="707" spans="1:12" ht="12.75" hidden="1">
      <c r="A707" s="27"/>
      <c r="B707" s="15"/>
      <c r="C707" s="15"/>
      <c r="D707" s="27"/>
      <c r="E707" s="25"/>
      <c r="F707" s="98"/>
      <c r="G707" s="120"/>
      <c r="H707" s="165"/>
      <c r="I707" s="120"/>
      <c r="J707" s="120"/>
      <c r="L707" s="122"/>
    </row>
    <row r="708" spans="1:12" ht="12.75" hidden="1">
      <c r="A708" s="62" t="s">
        <v>605</v>
      </c>
      <c r="B708" s="62" t="s">
        <v>535</v>
      </c>
      <c r="C708" s="62" t="s">
        <v>843</v>
      </c>
      <c r="D708" s="62"/>
      <c r="E708" s="63" t="s">
        <v>536</v>
      </c>
      <c r="F708" s="98"/>
      <c r="G708" s="120"/>
      <c r="H708" s="165"/>
      <c r="I708" s="120"/>
      <c r="J708" s="120">
        <f>J709</f>
        <v>0</v>
      </c>
      <c r="L708" s="122"/>
    </row>
    <row r="709" spans="1:12" ht="12.75" hidden="1">
      <c r="A709" s="57" t="s">
        <v>606</v>
      </c>
      <c r="B709" s="57" t="s">
        <v>50</v>
      </c>
      <c r="C709" s="57" t="s">
        <v>845</v>
      </c>
      <c r="D709" s="57"/>
      <c r="E709" s="74" t="s">
        <v>350</v>
      </c>
      <c r="F709" s="98"/>
      <c r="G709" s="120"/>
      <c r="H709" s="165"/>
      <c r="I709" s="120"/>
      <c r="J709" s="120">
        <f>J710</f>
        <v>0</v>
      </c>
      <c r="L709" s="122"/>
    </row>
    <row r="710" spans="1:12" ht="51" hidden="1">
      <c r="A710" s="29" t="s">
        <v>382</v>
      </c>
      <c r="B710" s="18" t="s">
        <v>50</v>
      </c>
      <c r="C710" s="29" t="s">
        <v>847</v>
      </c>
      <c r="D710" s="29" t="s">
        <v>479</v>
      </c>
      <c r="E710" s="44" t="s">
        <v>366</v>
      </c>
      <c r="F710" s="98"/>
      <c r="G710" s="120"/>
      <c r="H710" s="165"/>
      <c r="I710" s="120"/>
      <c r="J710" s="120">
        <v>0</v>
      </c>
      <c r="L710" s="122"/>
    </row>
    <row r="711" spans="1:12" s="21" customFormat="1" ht="28.5" customHeight="1" hidden="1">
      <c r="A711" s="31" t="s">
        <v>235</v>
      </c>
      <c r="B711" s="31" t="s">
        <v>132</v>
      </c>
      <c r="C711" s="31" t="s">
        <v>132</v>
      </c>
      <c r="D711" s="31"/>
      <c r="E711" s="32" t="s">
        <v>95</v>
      </c>
      <c r="F711" s="32"/>
      <c r="G711" s="156"/>
      <c r="H711" s="174"/>
      <c r="I711" s="156"/>
      <c r="J711" s="156">
        <f>J712</f>
        <v>0</v>
      </c>
      <c r="L711" s="122">
        <v>0</v>
      </c>
    </row>
    <row r="712" spans="1:12" s="21" customFormat="1" ht="30" customHeight="1" hidden="1">
      <c r="A712" s="29" t="s">
        <v>236</v>
      </c>
      <c r="B712" s="18"/>
      <c r="C712" s="18"/>
      <c r="D712" s="18"/>
      <c r="E712" s="26" t="s">
        <v>95</v>
      </c>
      <c r="F712" s="100"/>
      <c r="G712" s="119"/>
      <c r="H712" s="164"/>
      <c r="I712" s="119"/>
      <c r="J712" s="119">
        <f>J713+J715</f>
        <v>0</v>
      </c>
      <c r="L712" s="122"/>
    </row>
    <row r="713" spans="1:12" s="21" customFormat="1" ht="12.75" hidden="1">
      <c r="A713" s="62" t="s">
        <v>604</v>
      </c>
      <c r="B713" s="61" t="s">
        <v>567</v>
      </c>
      <c r="C713" s="61" t="s">
        <v>833</v>
      </c>
      <c r="D713" s="61"/>
      <c r="E713" s="72" t="s">
        <v>569</v>
      </c>
      <c r="F713" s="100"/>
      <c r="G713" s="119"/>
      <c r="H713" s="164"/>
      <c r="I713" s="119"/>
      <c r="J713" s="119">
        <f>J714</f>
        <v>0</v>
      </c>
      <c r="L713" s="122"/>
    </row>
    <row r="714" spans="1:12" s="21" customFormat="1" ht="25.5" hidden="1">
      <c r="A714" s="27" t="s">
        <v>18</v>
      </c>
      <c r="B714" s="15" t="s">
        <v>30</v>
      </c>
      <c r="C714" s="27" t="s">
        <v>515</v>
      </c>
      <c r="D714" s="27" t="s">
        <v>476</v>
      </c>
      <c r="E714" s="28" t="s">
        <v>267</v>
      </c>
      <c r="F714" s="100"/>
      <c r="G714" s="119"/>
      <c r="H714" s="164"/>
      <c r="I714" s="119"/>
      <c r="J714" s="119">
        <v>0</v>
      </c>
      <c r="L714" s="122"/>
    </row>
    <row r="715" spans="1:12" s="21" customFormat="1" ht="12.75" hidden="1">
      <c r="A715" s="62" t="s">
        <v>607</v>
      </c>
      <c r="B715" s="62" t="s">
        <v>535</v>
      </c>
      <c r="C715" s="62" t="s">
        <v>843</v>
      </c>
      <c r="D715" s="62"/>
      <c r="E715" s="63" t="s">
        <v>536</v>
      </c>
      <c r="F715" s="100"/>
      <c r="G715" s="119"/>
      <c r="H715" s="164"/>
      <c r="I715" s="119"/>
      <c r="J715" s="119">
        <f>J716</f>
        <v>0</v>
      </c>
      <c r="L715" s="122"/>
    </row>
    <row r="716" spans="1:12" s="21" customFormat="1" ht="12.75" customHeight="1" hidden="1">
      <c r="A716" s="45" t="s">
        <v>357</v>
      </c>
      <c r="B716" s="45" t="s">
        <v>50</v>
      </c>
      <c r="C716" s="45" t="s">
        <v>845</v>
      </c>
      <c r="D716" s="45"/>
      <c r="E716" s="47" t="s">
        <v>350</v>
      </c>
      <c r="F716" s="100"/>
      <c r="G716" s="119"/>
      <c r="H716" s="164"/>
      <c r="I716" s="119"/>
      <c r="J716" s="119">
        <f>J717</f>
        <v>0</v>
      </c>
      <c r="L716" s="122"/>
    </row>
    <row r="717" spans="1:12" ht="89.25" hidden="1">
      <c r="A717" s="29" t="s">
        <v>301</v>
      </c>
      <c r="B717" s="29" t="s">
        <v>50</v>
      </c>
      <c r="C717" s="29" t="s">
        <v>852</v>
      </c>
      <c r="D717" s="29" t="s">
        <v>479</v>
      </c>
      <c r="E717" s="25" t="s">
        <v>1102</v>
      </c>
      <c r="F717" s="98"/>
      <c r="G717" s="120"/>
      <c r="H717" s="165"/>
      <c r="I717" s="120"/>
      <c r="J717" s="120">
        <v>0</v>
      </c>
      <c r="L717" s="122"/>
    </row>
    <row r="718" spans="1:12" s="36" customFormat="1" ht="26.25" customHeight="1">
      <c r="A718" s="39" t="s">
        <v>237</v>
      </c>
      <c r="B718" s="39" t="s">
        <v>133</v>
      </c>
      <c r="C718" s="31" t="s">
        <v>133</v>
      </c>
      <c r="D718" s="39"/>
      <c r="E718" s="34" t="s">
        <v>95</v>
      </c>
      <c r="F718" s="34"/>
      <c r="G718" s="154"/>
      <c r="H718" s="173"/>
      <c r="I718" s="154"/>
      <c r="J718" s="158">
        <f>J719</f>
        <v>5745400</v>
      </c>
      <c r="L718" s="122">
        <f>J718-'[1]Місто'!$P$467</f>
        <v>0</v>
      </c>
    </row>
    <row r="719" spans="1:12" s="36" customFormat="1" ht="27" customHeight="1">
      <c r="A719" s="40" t="s">
        <v>238</v>
      </c>
      <c r="B719" s="40"/>
      <c r="C719" s="40"/>
      <c r="D719" s="40"/>
      <c r="E719" s="41" t="s">
        <v>95</v>
      </c>
      <c r="F719" s="101"/>
      <c r="G719" s="149"/>
      <c r="H719" s="175"/>
      <c r="I719" s="149"/>
      <c r="J719" s="120">
        <f>J720</f>
        <v>5745400</v>
      </c>
      <c r="L719" s="122"/>
    </row>
    <row r="720" spans="1:12" s="36" customFormat="1" ht="16.5" customHeight="1">
      <c r="A720" s="62" t="s">
        <v>608</v>
      </c>
      <c r="B720" s="61" t="s">
        <v>535</v>
      </c>
      <c r="C720" s="61" t="s">
        <v>843</v>
      </c>
      <c r="D720" s="61"/>
      <c r="E720" s="63" t="s">
        <v>536</v>
      </c>
      <c r="F720" s="101"/>
      <c r="G720" s="149"/>
      <c r="H720" s="175"/>
      <c r="I720" s="149"/>
      <c r="J720" s="120">
        <f>J721+J722</f>
        <v>5745400</v>
      </c>
      <c r="L720" s="122"/>
    </row>
    <row r="721" spans="1:12" s="38" customFormat="1" ht="38.25">
      <c r="A721" s="29" t="s">
        <v>609</v>
      </c>
      <c r="B721" s="42" t="s">
        <v>84</v>
      </c>
      <c r="C721" s="27" t="s">
        <v>964</v>
      </c>
      <c r="D721" s="27" t="s">
        <v>515</v>
      </c>
      <c r="E721" s="43" t="s">
        <v>110</v>
      </c>
      <c r="F721" s="126" t="s">
        <v>1110</v>
      </c>
      <c r="G721" s="157"/>
      <c r="H721" s="176"/>
      <c r="I721" s="157"/>
      <c r="J721" s="120">
        <f>'[1]Місто'!$P$472</f>
        <v>5745400</v>
      </c>
      <c r="L721" s="122"/>
    </row>
    <row r="722" spans="1:12" s="38" customFormat="1" ht="12.75" hidden="1">
      <c r="A722" s="42" t="s">
        <v>412</v>
      </c>
      <c r="B722" s="42" t="s">
        <v>411</v>
      </c>
      <c r="C722" s="27" t="s">
        <v>965</v>
      </c>
      <c r="D722" s="27" t="s">
        <v>515</v>
      </c>
      <c r="E722" s="43" t="s">
        <v>413</v>
      </c>
      <c r="F722" s="104"/>
      <c r="G722" s="157"/>
      <c r="H722" s="176"/>
      <c r="I722" s="157"/>
      <c r="J722" s="157">
        <v>0</v>
      </c>
      <c r="L722" s="122"/>
    </row>
    <row r="723" spans="1:12" s="11" customFormat="1" ht="25.5">
      <c r="A723" s="10" t="s">
        <v>239</v>
      </c>
      <c r="B723" s="10" t="s">
        <v>111</v>
      </c>
      <c r="C723" s="10" t="s">
        <v>111</v>
      </c>
      <c r="D723" s="10"/>
      <c r="E723" s="12" t="s">
        <v>670</v>
      </c>
      <c r="F723" s="105"/>
      <c r="G723" s="158">
        <f>G724</f>
        <v>0</v>
      </c>
      <c r="H723" s="177"/>
      <c r="I723" s="158">
        <f>I724</f>
        <v>0</v>
      </c>
      <c r="J723" s="158">
        <f>J724</f>
        <v>715450</v>
      </c>
      <c r="L723" s="122">
        <f>J723-'[1]Місто'!$P$475</f>
        <v>0</v>
      </c>
    </row>
    <row r="724" spans="1:12" s="2" customFormat="1" ht="25.5">
      <c r="A724" s="6" t="s">
        <v>240</v>
      </c>
      <c r="B724" s="6"/>
      <c r="C724" s="6" t="s">
        <v>855</v>
      </c>
      <c r="D724" s="6"/>
      <c r="E724" s="3" t="s">
        <v>671</v>
      </c>
      <c r="F724" s="102"/>
      <c r="G724" s="130">
        <f>G725+G727+G730+G734</f>
        <v>0</v>
      </c>
      <c r="H724" s="169"/>
      <c r="I724" s="130">
        <f>I725+I727+I730+I734</f>
        <v>0</v>
      </c>
      <c r="J724" s="159">
        <f>J725+J727+J730+J734</f>
        <v>715450</v>
      </c>
      <c r="L724" s="122"/>
    </row>
    <row r="725" spans="1:12" s="2" customFormat="1" ht="12.75">
      <c r="A725" s="65" t="s">
        <v>610</v>
      </c>
      <c r="B725" s="65" t="s">
        <v>567</v>
      </c>
      <c r="C725" s="65" t="s">
        <v>833</v>
      </c>
      <c r="D725" s="65"/>
      <c r="E725" s="70" t="s">
        <v>569</v>
      </c>
      <c r="F725" s="102"/>
      <c r="G725" s="130"/>
      <c r="H725" s="169"/>
      <c r="I725" s="130"/>
      <c r="J725" s="159">
        <f>J726</f>
        <v>642917</v>
      </c>
      <c r="L725" s="122"/>
    </row>
    <row r="726" spans="1:12" s="2" customFormat="1" ht="62.25" customHeight="1">
      <c r="A726" s="6" t="s">
        <v>19</v>
      </c>
      <c r="B726" s="6" t="s">
        <v>30</v>
      </c>
      <c r="C726" s="6" t="s">
        <v>515</v>
      </c>
      <c r="D726" s="6" t="s">
        <v>476</v>
      </c>
      <c r="E726" s="28" t="s">
        <v>764</v>
      </c>
      <c r="F726" s="102"/>
      <c r="G726" s="130"/>
      <c r="H726" s="169"/>
      <c r="I726" s="130"/>
      <c r="J726" s="159">
        <f>'[1]Місто'!$P$478</f>
        <v>642917</v>
      </c>
      <c r="L726" s="122"/>
    </row>
    <row r="727" spans="1:12" s="2" customFormat="1" ht="12.75">
      <c r="A727" s="65" t="s">
        <v>611</v>
      </c>
      <c r="B727" s="66" t="s">
        <v>559</v>
      </c>
      <c r="C727" s="66" t="s">
        <v>932</v>
      </c>
      <c r="D727" s="66"/>
      <c r="E727" s="70" t="s">
        <v>561</v>
      </c>
      <c r="F727" s="102"/>
      <c r="G727" s="130"/>
      <c r="H727" s="169"/>
      <c r="I727" s="130"/>
      <c r="J727" s="159">
        <f>J728+J729</f>
        <v>72533</v>
      </c>
      <c r="L727" s="122"/>
    </row>
    <row r="728" spans="1:12" s="2" customFormat="1" ht="38.25" hidden="1">
      <c r="A728" s="62" t="s">
        <v>654</v>
      </c>
      <c r="B728" s="62" t="s">
        <v>277</v>
      </c>
      <c r="C728" s="62" t="s">
        <v>933</v>
      </c>
      <c r="D728" s="62" t="s">
        <v>508</v>
      </c>
      <c r="E728" s="63" t="s">
        <v>284</v>
      </c>
      <c r="F728" s="102"/>
      <c r="G728" s="130"/>
      <c r="H728" s="169"/>
      <c r="I728" s="130"/>
      <c r="J728" s="159">
        <v>0</v>
      </c>
      <c r="L728" s="122"/>
    </row>
    <row r="729" spans="1:12" s="2" customFormat="1" ht="12.75">
      <c r="A729" s="62" t="s">
        <v>329</v>
      </c>
      <c r="B729" s="62" t="s">
        <v>89</v>
      </c>
      <c r="C729" s="62" t="s">
        <v>943</v>
      </c>
      <c r="D729" s="62" t="s">
        <v>509</v>
      </c>
      <c r="E729" s="63" t="s">
        <v>91</v>
      </c>
      <c r="F729" s="126" t="s">
        <v>1110</v>
      </c>
      <c r="G729" s="130"/>
      <c r="H729" s="169"/>
      <c r="I729" s="130"/>
      <c r="J729" s="159">
        <f>'[1]Місто'!$P$481</f>
        <v>72533</v>
      </c>
      <c r="L729" s="122"/>
    </row>
    <row r="730" spans="1:12" s="2" customFormat="1" ht="12.75" hidden="1">
      <c r="A730" s="62" t="s">
        <v>674</v>
      </c>
      <c r="B730" s="61" t="s">
        <v>530</v>
      </c>
      <c r="C730" s="61" t="s">
        <v>838</v>
      </c>
      <c r="D730" s="61"/>
      <c r="E730" s="72" t="s">
        <v>532</v>
      </c>
      <c r="F730" s="102"/>
      <c r="G730" s="130">
        <f>G731</f>
        <v>0</v>
      </c>
      <c r="H730" s="169"/>
      <c r="I730" s="130">
        <f>I731</f>
        <v>0</v>
      </c>
      <c r="J730" s="159">
        <f>J731</f>
        <v>0</v>
      </c>
      <c r="L730" s="122"/>
    </row>
    <row r="731" spans="1:12" s="2" customFormat="1" ht="25.5" hidden="1">
      <c r="A731" s="27" t="s">
        <v>241</v>
      </c>
      <c r="B731" s="15" t="s">
        <v>63</v>
      </c>
      <c r="C731" s="27" t="s">
        <v>839</v>
      </c>
      <c r="D731" s="27" t="s">
        <v>478</v>
      </c>
      <c r="E731" s="28" t="s">
        <v>140</v>
      </c>
      <c r="F731" s="102"/>
      <c r="G731" s="130">
        <f>SUM(G732:G733)</f>
        <v>0</v>
      </c>
      <c r="H731" s="169"/>
      <c r="I731" s="130">
        <f>SUM(I732:I733)</f>
        <v>0</v>
      </c>
      <c r="J731" s="159">
        <f>SUM(J732:J733)</f>
        <v>0</v>
      </c>
      <c r="L731" s="122"/>
    </row>
    <row r="732" spans="1:12" s="20" customFormat="1" ht="12.75" hidden="1">
      <c r="A732" s="27"/>
      <c r="B732" s="15"/>
      <c r="C732" s="15"/>
      <c r="D732" s="27"/>
      <c r="E732" s="25"/>
      <c r="F732" s="100"/>
      <c r="G732" s="119"/>
      <c r="H732" s="164"/>
      <c r="I732" s="119"/>
      <c r="J732" s="159"/>
      <c r="K732" s="21"/>
      <c r="L732" s="122"/>
    </row>
    <row r="733" spans="1:12" s="20" customFormat="1" ht="12.75" hidden="1">
      <c r="A733" s="27"/>
      <c r="B733" s="15"/>
      <c r="C733" s="15"/>
      <c r="D733" s="27"/>
      <c r="E733" s="25"/>
      <c r="F733" s="100"/>
      <c r="G733" s="119"/>
      <c r="H733" s="164"/>
      <c r="I733" s="119"/>
      <c r="J733" s="159"/>
      <c r="K733" s="21"/>
      <c r="L733" s="122"/>
    </row>
    <row r="734" spans="1:12" s="2" customFormat="1" ht="24" customHeight="1" hidden="1">
      <c r="A734" s="65" t="s">
        <v>612</v>
      </c>
      <c r="B734" s="65" t="s">
        <v>535</v>
      </c>
      <c r="C734" s="65" t="s">
        <v>843</v>
      </c>
      <c r="D734" s="65"/>
      <c r="E734" s="71" t="s">
        <v>536</v>
      </c>
      <c r="F734" s="102"/>
      <c r="G734" s="130"/>
      <c r="H734" s="169"/>
      <c r="I734" s="130"/>
      <c r="J734" s="159">
        <f>J735</f>
        <v>0</v>
      </c>
      <c r="L734" s="122"/>
    </row>
    <row r="735" spans="1:12" s="2" customFormat="1" ht="12.75" hidden="1">
      <c r="A735" s="48" t="s">
        <v>358</v>
      </c>
      <c r="B735" s="48" t="s">
        <v>50</v>
      </c>
      <c r="C735" s="48" t="s">
        <v>845</v>
      </c>
      <c r="D735" s="48"/>
      <c r="E735" s="54" t="s">
        <v>350</v>
      </c>
      <c r="F735" s="102"/>
      <c r="G735" s="130"/>
      <c r="H735" s="169"/>
      <c r="I735" s="130"/>
      <c r="J735" s="130">
        <f>SUM(J736:J744)</f>
        <v>0</v>
      </c>
      <c r="L735" s="122"/>
    </row>
    <row r="736" spans="1:12" ht="56.25" customHeight="1" hidden="1">
      <c r="A736" s="29" t="s">
        <v>790</v>
      </c>
      <c r="B736" s="27" t="s">
        <v>50</v>
      </c>
      <c r="C736" s="27" t="s">
        <v>846</v>
      </c>
      <c r="D736" s="27" t="s">
        <v>479</v>
      </c>
      <c r="E736" s="25" t="s">
        <v>143</v>
      </c>
      <c r="F736" s="98"/>
      <c r="G736" s="120"/>
      <c r="H736" s="165"/>
      <c r="I736" s="120"/>
      <c r="J736" s="120">
        <v>0</v>
      </c>
      <c r="L736" s="122"/>
    </row>
    <row r="737" spans="1:12" s="36" customFormat="1" ht="41.25" customHeight="1" hidden="1">
      <c r="A737" s="29" t="s">
        <v>302</v>
      </c>
      <c r="B737" s="18" t="s">
        <v>50</v>
      </c>
      <c r="C737" s="29" t="s">
        <v>847</v>
      </c>
      <c r="D737" s="27" t="s">
        <v>479</v>
      </c>
      <c r="E737" s="44" t="s">
        <v>737</v>
      </c>
      <c r="F737" s="101"/>
      <c r="G737" s="149"/>
      <c r="H737" s="175"/>
      <c r="I737" s="149"/>
      <c r="J737" s="149">
        <v>0</v>
      </c>
      <c r="L737" s="122"/>
    </row>
    <row r="738" spans="1:12" ht="51" customHeight="1" hidden="1">
      <c r="A738" s="29" t="s">
        <v>330</v>
      </c>
      <c r="B738" s="27" t="s">
        <v>50</v>
      </c>
      <c r="C738" s="27" t="s">
        <v>848</v>
      </c>
      <c r="D738" s="27" t="s">
        <v>479</v>
      </c>
      <c r="E738" s="25" t="s">
        <v>1103</v>
      </c>
      <c r="F738" s="98"/>
      <c r="G738" s="120"/>
      <c r="H738" s="165"/>
      <c r="I738" s="120"/>
      <c r="J738" s="120">
        <v>0</v>
      </c>
      <c r="L738" s="122"/>
    </row>
    <row r="739" spans="1:12" ht="50.25" customHeight="1" hidden="1">
      <c r="A739" s="29" t="s">
        <v>791</v>
      </c>
      <c r="B739" s="27" t="s">
        <v>50</v>
      </c>
      <c r="C739" s="27" t="s">
        <v>849</v>
      </c>
      <c r="D739" s="27" t="s">
        <v>479</v>
      </c>
      <c r="E739" s="25" t="s">
        <v>410</v>
      </c>
      <c r="F739" s="98"/>
      <c r="G739" s="120"/>
      <c r="H739" s="165"/>
      <c r="I739" s="120"/>
      <c r="J739" s="120">
        <v>0</v>
      </c>
      <c r="L739" s="122"/>
    </row>
    <row r="740" spans="1:12" ht="53.25" customHeight="1" hidden="1">
      <c r="A740" s="29" t="s">
        <v>371</v>
      </c>
      <c r="B740" s="27" t="s">
        <v>50</v>
      </c>
      <c r="C740" s="27" t="s">
        <v>850</v>
      </c>
      <c r="D740" s="27" t="s">
        <v>479</v>
      </c>
      <c r="E740" s="25" t="s">
        <v>299</v>
      </c>
      <c r="F740" s="98"/>
      <c r="G740" s="120"/>
      <c r="H740" s="165"/>
      <c r="I740" s="120"/>
      <c r="J740" s="120">
        <v>0</v>
      </c>
      <c r="L740" s="122"/>
    </row>
    <row r="741" spans="1:12" ht="38.25" hidden="1">
      <c r="A741" s="29" t="s">
        <v>394</v>
      </c>
      <c r="B741" s="27" t="s">
        <v>50</v>
      </c>
      <c r="C741" s="27" t="s">
        <v>851</v>
      </c>
      <c r="D741" s="27" t="s">
        <v>479</v>
      </c>
      <c r="E741" s="25" t="s">
        <v>276</v>
      </c>
      <c r="F741" s="98"/>
      <c r="G741" s="120"/>
      <c r="H741" s="165"/>
      <c r="I741" s="120"/>
      <c r="J741" s="120">
        <v>0</v>
      </c>
      <c r="L741" s="122"/>
    </row>
    <row r="742" spans="1:12" ht="102" customHeight="1" hidden="1">
      <c r="A742" s="29" t="s">
        <v>792</v>
      </c>
      <c r="B742" s="27" t="s">
        <v>50</v>
      </c>
      <c r="C742" s="27" t="s">
        <v>852</v>
      </c>
      <c r="D742" s="27" t="s">
        <v>479</v>
      </c>
      <c r="E742" s="25" t="s">
        <v>1102</v>
      </c>
      <c r="F742" s="98"/>
      <c r="G742" s="120"/>
      <c r="H742" s="165"/>
      <c r="I742" s="120"/>
      <c r="J742" s="120">
        <v>0</v>
      </c>
      <c r="L742" s="122"/>
    </row>
    <row r="743" spans="1:12" ht="25.5" hidden="1">
      <c r="A743" s="29" t="s">
        <v>376</v>
      </c>
      <c r="B743" s="27" t="s">
        <v>50</v>
      </c>
      <c r="C743" s="27" t="s">
        <v>853</v>
      </c>
      <c r="D743" s="27" t="s">
        <v>479</v>
      </c>
      <c r="E743" s="25" t="s">
        <v>763</v>
      </c>
      <c r="F743" s="98"/>
      <c r="G743" s="120"/>
      <c r="H743" s="165"/>
      <c r="I743" s="120"/>
      <c r="J743" s="120">
        <v>0</v>
      </c>
      <c r="L743" s="122"/>
    </row>
    <row r="744" spans="1:12" s="21" customFormat="1" ht="15" customHeight="1" hidden="1">
      <c r="A744" s="29" t="s">
        <v>793</v>
      </c>
      <c r="B744" s="18" t="s">
        <v>50</v>
      </c>
      <c r="C744" s="29" t="s">
        <v>854</v>
      </c>
      <c r="D744" s="29" t="s">
        <v>479</v>
      </c>
      <c r="E744" s="25" t="s">
        <v>716</v>
      </c>
      <c r="F744" s="100"/>
      <c r="G744" s="119"/>
      <c r="H744" s="164"/>
      <c r="I744" s="119"/>
      <c r="J744" s="119">
        <v>0</v>
      </c>
      <c r="L744" s="122"/>
    </row>
    <row r="745" spans="1:21" s="11" customFormat="1" ht="25.5">
      <c r="A745" s="82" t="s">
        <v>242</v>
      </c>
      <c r="B745" s="82" t="s">
        <v>112</v>
      </c>
      <c r="C745" s="82" t="s">
        <v>112</v>
      </c>
      <c r="D745" s="82"/>
      <c r="E745" s="12" t="s">
        <v>100</v>
      </c>
      <c r="F745" s="106"/>
      <c r="G745" s="158">
        <f>G746</f>
        <v>12908285</v>
      </c>
      <c r="H745" s="177"/>
      <c r="I745" s="158">
        <f>I746</f>
        <v>11744272</v>
      </c>
      <c r="J745" s="158">
        <f>J746</f>
        <v>6189586</v>
      </c>
      <c r="K745" s="13"/>
      <c r="L745" s="122">
        <f>J745-'[1]Місто'!$P$498</f>
        <v>0</v>
      </c>
      <c r="M745" s="13"/>
      <c r="N745" s="13"/>
      <c r="O745" s="13"/>
      <c r="P745" s="13"/>
      <c r="Q745" s="13"/>
      <c r="R745" s="13"/>
      <c r="S745" s="13"/>
      <c r="T745" s="13"/>
      <c r="U745" s="13"/>
    </row>
    <row r="746" spans="1:21" s="2" customFormat="1" ht="25.5">
      <c r="A746" s="83" t="s">
        <v>243</v>
      </c>
      <c r="B746" s="83"/>
      <c r="C746" s="83"/>
      <c r="D746" s="83"/>
      <c r="E746" s="3" t="s">
        <v>244</v>
      </c>
      <c r="F746" s="107"/>
      <c r="G746" s="130">
        <f>G747+G749+G752+G759</f>
        <v>12908285</v>
      </c>
      <c r="H746" s="169"/>
      <c r="I746" s="130">
        <f>I747+I749+I752+I759</f>
        <v>11744272</v>
      </c>
      <c r="J746" s="130">
        <f>J747+J749+J752+J759</f>
        <v>6189586</v>
      </c>
      <c r="K746" s="8"/>
      <c r="L746" s="122"/>
      <c r="M746" s="8"/>
      <c r="N746" s="8"/>
      <c r="O746" s="8"/>
      <c r="P746" s="8"/>
      <c r="Q746" s="8"/>
      <c r="R746" s="8"/>
      <c r="S746" s="8"/>
      <c r="T746" s="8"/>
      <c r="U746" s="8"/>
    </row>
    <row r="747" spans="1:21" s="2" customFormat="1" ht="12.75">
      <c r="A747" s="66" t="s">
        <v>613</v>
      </c>
      <c r="B747" s="84" t="s">
        <v>559</v>
      </c>
      <c r="C747" s="84" t="s">
        <v>833</v>
      </c>
      <c r="D747" s="84"/>
      <c r="E747" s="70" t="s">
        <v>569</v>
      </c>
      <c r="F747" s="107"/>
      <c r="G747" s="130"/>
      <c r="H747" s="169"/>
      <c r="I747" s="130"/>
      <c r="J747" s="130">
        <f>J748</f>
        <v>618620</v>
      </c>
      <c r="K747" s="8"/>
      <c r="L747" s="122"/>
      <c r="M747" s="8"/>
      <c r="N747" s="8"/>
      <c r="O747" s="8"/>
      <c r="P747" s="8"/>
      <c r="Q747" s="8"/>
      <c r="R747" s="8"/>
      <c r="S747" s="8"/>
      <c r="T747" s="8"/>
      <c r="U747" s="8"/>
    </row>
    <row r="748" spans="1:21" s="4" customFormat="1" ht="51">
      <c r="A748" s="5" t="s">
        <v>20</v>
      </c>
      <c r="B748" s="85" t="s">
        <v>30</v>
      </c>
      <c r="C748" s="5" t="s">
        <v>515</v>
      </c>
      <c r="D748" s="5" t="s">
        <v>476</v>
      </c>
      <c r="E748" s="28" t="s">
        <v>764</v>
      </c>
      <c r="F748" s="126" t="s">
        <v>1110</v>
      </c>
      <c r="G748" s="160"/>
      <c r="H748" s="178"/>
      <c r="I748" s="160"/>
      <c r="J748" s="130">
        <f>'[1]Місто'!$P$501</f>
        <v>618620</v>
      </c>
      <c r="K748" s="7"/>
      <c r="L748" s="122"/>
      <c r="M748" s="7"/>
      <c r="N748" s="7"/>
      <c r="O748" s="7"/>
      <c r="P748" s="7"/>
      <c r="Q748" s="7"/>
      <c r="R748" s="7"/>
      <c r="S748" s="7"/>
      <c r="T748" s="7"/>
      <c r="U748" s="7"/>
    </row>
    <row r="749" spans="1:21" s="4" customFormat="1" ht="12.75">
      <c r="A749" s="65" t="s">
        <v>614</v>
      </c>
      <c r="B749" s="66" t="s">
        <v>559</v>
      </c>
      <c r="C749" s="66" t="s">
        <v>932</v>
      </c>
      <c r="D749" s="66"/>
      <c r="E749" s="67" t="s">
        <v>561</v>
      </c>
      <c r="F749" s="108"/>
      <c r="G749" s="160"/>
      <c r="H749" s="178"/>
      <c r="I749" s="160"/>
      <c r="J749" s="130">
        <f>J750+J751</f>
        <v>400000</v>
      </c>
      <c r="K749" s="7"/>
      <c r="L749" s="122"/>
      <c r="M749" s="7"/>
      <c r="N749" s="7"/>
      <c r="O749" s="7"/>
      <c r="P749" s="7"/>
      <c r="Q749" s="7"/>
      <c r="R749" s="7"/>
      <c r="S749" s="7"/>
      <c r="T749" s="7"/>
      <c r="U749" s="7"/>
    </row>
    <row r="750" spans="1:12" s="2" customFormat="1" ht="55.5" customHeight="1" hidden="1">
      <c r="A750" s="62" t="s">
        <v>655</v>
      </c>
      <c r="B750" s="62" t="s">
        <v>277</v>
      </c>
      <c r="C750" s="62" t="s">
        <v>933</v>
      </c>
      <c r="D750" s="62" t="s">
        <v>508</v>
      </c>
      <c r="E750" s="63" t="s">
        <v>284</v>
      </c>
      <c r="F750" s="102"/>
      <c r="G750" s="130"/>
      <c r="H750" s="169"/>
      <c r="I750" s="130"/>
      <c r="J750" s="130">
        <v>0</v>
      </c>
      <c r="L750" s="122"/>
    </row>
    <row r="751" spans="1:12" s="2" customFormat="1" ht="12.75">
      <c r="A751" s="6" t="s">
        <v>337</v>
      </c>
      <c r="B751" s="6" t="s">
        <v>89</v>
      </c>
      <c r="C751" s="6" t="s">
        <v>943</v>
      </c>
      <c r="D751" s="6" t="s">
        <v>509</v>
      </c>
      <c r="E751" s="3" t="s">
        <v>91</v>
      </c>
      <c r="F751" s="102"/>
      <c r="G751" s="130"/>
      <c r="H751" s="169"/>
      <c r="I751" s="130"/>
      <c r="J751" s="130">
        <f>'[1]Місто'!$P$504</f>
        <v>400000</v>
      </c>
      <c r="L751" s="122"/>
    </row>
    <row r="752" spans="1:12" s="2" customFormat="1" ht="12.75">
      <c r="A752" s="62" t="s">
        <v>616</v>
      </c>
      <c r="B752" s="61" t="s">
        <v>530</v>
      </c>
      <c r="C752" s="61" t="s">
        <v>838</v>
      </c>
      <c r="D752" s="61"/>
      <c r="E752" s="72" t="s">
        <v>532</v>
      </c>
      <c r="F752" s="102"/>
      <c r="G752" s="130">
        <f>G753</f>
        <v>12908285</v>
      </c>
      <c r="H752" s="169"/>
      <c r="I752" s="130">
        <f>I753</f>
        <v>11744272</v>
      </c>
      <c r="J752" s="130">
        <f>J753</f>
        <v>5170966</v>
      </c>
      <c r="L752" s="122"/>
    </row>
    <row r="753" spans="1:12" s="2" customFormat="1" ht="25.5">
      <c r="A753" s="77" t="s">
        <v>280</v>
      </c>
      <c r="B753" s="145" t="s">
        <v>63</v>
      </c>
      <c r="C753" s="145" t="s">
        <v>839</v>
      </c>
      <c r="D753" s="145" t="s">
        <v>478</v>
      </c>
      <c r="E753" s="144" t="s">
        <v>140</v>
      </c>
      <c r="F753" s="103"/>
      <c r="G753" s="141">
        <f>G754</f>
        <v>12908285</v>
      </c>
      <c r="H753" s="163"/>
      <c r="I753" s="141">
        <f>I754</f>
        <v>11744272</v>
      </c>
      <c r="J753" s="141">
        <f>SUM(J754:J758)</f>
        <v>5170966</v>
      </c>
      <c r="L753" s="122"/>
    </row>
    <row r="754" spans="1:12" s="20" customFormat="1" ht="25.5">
      <c r="A754" s="42" t="s">
        <v>280</v>
      </c>
      <c r="B754" s="40" t="s">
        <v>63</v>
      </c>
      <c r="C754" s="29" t="s">
        <v>839</v>
      </c>
      <c r="D754" s="29" t="s">
        <v>478</v>
      </c>
      <c r="E754" s="46" t="s">
        <v>140</v>
      </c>
      <c r="F754" s="25" t="s">
        <v>1332</v>
      </c>
      <c r="G754" s="120">
        <v>12908285</v>
      </c>
      <c r="H754" s="164">
        <f>100-(I754/G754*100)</f>
        <v>9.017565075453476</v>
      </c>
      <c r="I754" s="120">
        <v>11744272</v>
      </c>
      <c r="J754" s="120">
        <f>6000000-2000000</f>
        <v>4000000</v>
      </c>
      <c r="K754" s="21"/>
      <c r="L754" s="122"/>
    </row>
    <row r="755" spans="1:12" s="20" customFormat="1" ht="25.5">
      <c r="A755" s="77" t="s">
        <v>280</v>
      </c>
      <c r="B755" s="15" t="s">
        <v>63</v>
      </c>
      <c r="C755" s="27" t="s">
        <v>839</v>
      </c>
      <c r="D755" s="27" t="s">
        <v>478</v>
      </c>
      <c r="E755" s="25" t="s">
        <v>140</v>
      </c>
      <c r="F755" s="139" t="s">
        <v>1227</v>
      </c>
      <c r="G755" s="120">
        <v>300000</v>
      </c>
      <c r="H755" s="164">
        <f>100-(I755/G755*100)</f>
        <v>0</v>
      </c>
      <c r="I755" s="120">
        <v>300000</v>
      </c>
      <c r="J755" s="120">
        <v>300000</v>
      </c>
      <c r="K755" s="21"/>
      <c r="L755" s="122"/>
    </row>
    <row r="756" spans="1:12" s="20" customFormat="1" ht="38.25">
      <c r="A756" s="42" t="s">
        <v>280</v>
      </c>
      <c r="B756" s="15" t="s">
        <v>63</v>
      </c>
      <c r="C756" s="27" t="s">
        <v>839</v>
      </c>
      <c r="D756" s="27" t="s">
        <v>478</v>
      </c>
      <c r="E756" s="25" t="s">
        <v>140</v>
      </c>
      <c r="F756" s="139" t="s">
        <v>1226</v>
      </c>
      <c r="G756" s="120">
        <v>277500</v>
      </c>
      <c r="H756" s="164">
        <f>100-(I756/G756*100)</f>
        <v>0</v>
      </c>
      <c r="I756" s="120">
        <v>277500</v>
      </c>
      <c r="J756" s="120">
        <v>277500</v>
      </c>
      <c r="K756" s="21"/>
      <c r="L756" s="122"/>
    </row>
    <row r="757" spans="1:12" s="20" customFormat="1" ht="38.25">
      <c r="A757" s="77" t="s">
        <v>280</v>
      </c>
      <c r="B757" s="15" t="s">
        <v>63</v>
      </c>
      <c r="C757" s="27" t="s">
        <v>839</v>
      </c>
      <c r="D757" s="27" t="s">
        <v>478</v>
      </c>
      <c r="E757" s="25" t="s">
        <v>140</v>
      </c>
      <c r="F757" s="135" t="s">
        <v>1336</v>
      </c>
      <c r="G757" s="120">
        <v>593466</v>
      </c>
      <c r="H757" s="164">
        <f>100-(I757/G757*100)</f>
        <v>0</v>
      </c>
      <c r="I757" s="120">
        <v>593466</v>
      </c>
      <c r="J757" s="120">
        <v>593466</v>
      </c>
      <c r="K757" s="21"/>
      <c r="L757" s="122"/>
    </row>
    <row r="758" spans="1:12" s="20" customFormat="1" ht="25.5" hidden="1">
      <c r="A758" s="42" t="s">
        <v>280</v>
      </c>
      <c r="B758" s="40" t="s">
        <v>63</v>
      </c>
      <c r="C758" s="29" t="s">
        <v>839</v>
      </c>
      <c r="D758" s="29" t="s">
        <v>478</v>
      </c>
      <c r="E758" s="46" t="s">
        <v>140</v>
      </c>
      <c r="F758" s="100"/>
      <c r="G758" s="119"/>
      <c r="H758" s="164"/>
      <c r="I758" s="119"/>
      <c r="J758" s="119"/>
      <c r="K758" s="21"/>
      <c r="L758" s="122"/>
    </row>
    <row r="759" spans="1:12" s="2" customFormat="1" ht="12.75" hidden="1">
      <c r="A759" s="65" t="s">
        <v>615</v>
      </c>
      <c r="B759" s="65" t="s">
        <v>535</v>
      </c>
      <c r="C759" s="65" t="s">
        <v>843</v>
      </c>
      <c r="D759" s="65"/>
      <c r="E759" s="71" t="s">
        <v>536</v>
      </c>
      <c r="F759" s="102"/>
      <c r="G759" s="130"/>
      <c r="H759" s="169"/>
      <c r="I759" s="130"/>
      <c r="J759" s="130">
        <f>J760</f>
        <v>0</v>
      </c>
      <c r="L759" s="122"/>
    </row>
    <row r="760" spans="1:12" s="2" customFormat="1" ht="12.75" hidden="1">
      <c r="A760" s="48" t="s">
        <v>359</v>
      </c>
      <c r="B760" s="48" t="s">
        <v>50</v>
      </c>
      <c r="C760" s="48" t="s">
        <v>845</v>
      </c>
      <c r="D760" s="48"/>
      <c r="E760" s="54" t="s">
        <v>350</v>
      </c>
      <c r="F760" s="102"/>
      <c r="G760" s="130"/>
      <c r="H760" s="169"/>
      <c r="I760" s="130"/>
      <c r="J760" s="130">
        <f>SUM(J761:J769)</f>
        <v>0</v>
      </c>
      <c r="L760" s="122"/>
    </row>
    <row r="761" spans="1:12" ht="56.25" customHeight="1" hidden="1">
      <c r="A761" s="29" t="s">
        <v>794</v>
      </c>
      <c r="B761" s="27" t="s">
        <v>50</v>
      </c>
      <c r="C761" s="27" t="s">
        <v>846</v>
      </c>
      <c r="D761" s="27" t="s">
        <v>479</v>
      </c>
      <c r="E761" s="25" t="s">
        <v>143</v>
      </c>
      <c r="F761" s="98"/>
      <c r="G761" s="120"/>
      <c r="H761" s="165"/>
      <c r="I761" s="120"/>
      <c r="J761" s="120">
        <v>0</v>
      </c>
      <c r="L761" s="122"/>
    </row>
    <row r="762" spans="1:12" s="36" customFormat="1" ht="41.25" customHeight="1" hidden="1">
      <c r="A762" s="29" t="s">
        <v>303</v>
      </c>
      <c r="B762" s="18" t="s">
        <v>50</v>
      </c>
      <c r="C762" s="29" t="s">
        <v>847</v>
      </c>
      <c r="D762" s="27" t="s">
        <v>479</v>
      </c>
      <c r="E762" s="44" t="s">
        <v>737</v>
      </c>
      <c r="F762" s="101"/>
      <c r="G762" s="149"/>
      <c r="H762" s="175"/>
      <c r="I762" s="149"/>
      <c r="J762" s="120">
        <v>0</v>
      </c>
      <c r="L762" s="122"/>
    </row>
    <row r="763" spans="1:12" ht="51" customHeight="1" hidden="1">
      <c r="A763" s="29" t="s">
        <v>331</v>
      </c>
      <c r="B763" s="27" t="s">
        <v>50</v>
      </c>
      <c r="C763" s="27" t="s">
        <v>848</v>
      </c>
      <c r="D763" s="27" t="s">
        <v>479</v>
      </c>
      <c r="E763" s="25" t="s">
        <v>1103</v>
      </c>
      <c r="F763" s="98"/>
      <c r="G763" s="120"/>
      <c r="H763" s="165"/>
      <c r="I763" s="120"/>
      <c r="J763" s="120">
        <v>0</v>
      </c>
      <c r="L763" s="122"/>
    </row>
    <row r="764" spans="1:12" ht="50.25" customHeight="1" hidden="1">
      <c r="A764" s="29" t="s">
        <v>795</v>
      </c>
      <c r="B764" s="27" t="s">
        <v>50</v>
      </c>
      <c r="C764" s="27" t="s">
        <v>849</v>
      </c>
      <c r="D764" s="27" t="s">
        <v>479</v>
      </c>
      <c r="E764" s="25" t="s">
        <v>410</v>
      </c>
      <c r="F764" s="98"/>
      <c r="G764" s="120"/>
      <c r="H764" s="165"/>
      <c r="I764" s="120"/>
      <c r="J764" s="120">
        <v>0</v>
      </c>
      <c r="L764" s="122"/>
    </row>
    <row r="765" spans="1:12" ht="53.25" customHeight="1" hidden="1">
      <c r="A765" s="29" t="s">
        <v>403</v>
      </c>
      <c r="B765" s="27" t="s">
        <v>50</v>
      </c>
      <c r="C765" s="27" t="s">
        <v>850</v>
      </c>
      <c r="D765" s="27" t="s">
        <v>479</v>
      </c>
      <c r="E765" s="25" t="s">
        <v>299</v>
      </c>
      <c r="F765" s="98"/>
      <c r="G765" s="120"/>
      <c r="H765" s="165"/>
      <c r="I765" s="120"/>
      <c r="J765" s="120">
        <v>0</v>
      </c>
      <c r="L765" s="122"/>
    </row>
    <row r="766" spans="1:12" ht="38.25" hidden="1">
      <c r="A766" s="29" t="s">
        <v>395</v>
      </c>
      <c r="B766" s="27" t="s">
        <v>50</v>
      </c>
      <c r="C766" s="27" t="s">
        <v>851</v>
      </c>
      <c r="D766" s="27" t="s">
        <v>479</v>
      </c>
      <c r="E766" s="25" t="s">
        <v>276</v>
      </c>
      <c r="F766" s="98"/>
      <c r="G766" s="120"/>
      <c r="H766" s="165"/>
      <c r="I766" s="120"/>
      <c r="J766" s="120">
        <v>0</v>
      </c>
      <c r="L766" s="122"/>
    </row>
    <row r="767" spans="1:12" ht="102" customHeight="1" hidden="1">
      <c r="A767" s="29" t="s">
        <v>796</v>
      </c>
      <c r="B767" s="27" t="s">
        <v>50</v>
      </c>
      <c r="C767" s="27" t="s">
        <v>852</v>
      </c>
      <c r="D767" s="27" t="s">
        <v>479</v>
      </c>
      <c r="E767" s="25" t="s">
        <v>1102</v>
      </c>
      <c r="F767" s="98"/>
      <c r="G767" s="120"/>
      <c r="H767" s="165"/>
      <c r="I767" s="120"/>
      <c r="J767" s="120">
        <v>0</v>
      </c>
      <c r="L767" s="122"/>
    </row>
    <row r="768" spans="1:12" ht="25.5" hidden="1">
      <c r="A768" s="29" t="s">
        <v>377</v>
      </c>
      <c r="B768" s="27" t="s">
        <v>50</v>
      </c>
      <c r="C768" s="27" t="s">
        <v>853</v>
      </c>
      <c r="D768" s="27" t="s">
        <v>479</v>
      </c>
      <c r="E768" s="25" t="s">
        <v>763</v>
      </c>
      <c r="F768" s="98"/>
      <c r="G768" s="120"/>
      <c r="H768" s="165"/>
      <c r="I768" s="120"/>
      <c r="J768" s="120">
        <v>0</v>
      </c>
      <c r="L768" s="122"/>
    </row>
    <row r="769" spans="1:12" s="21" customFormat="1" ht="15" customHeight="1" hidden="1">
      <c r="A769" s="29" t="s">
        <v>797</v>
      </c>
      <c r="B769" s="18" t="s">
        <v>50</v>
      </c>
      <c r="C769" s="29" t="s">
        <v>854</v>
      </c>
      <c r="D769" s="29" t="s">
        <v>479</v>
      </c>
      <c r="E769" s="25" t="s">
        <v>716</v>
      </c>
      <c r="F769" s="100"/>
      <c r="G769" s="119"/>
      <c r="H769" s="164"/>
      <c r="I769" s="119"/>
      <c r="J769" s="120">
        <v>0</v>
      </c>
      <c r="L769" s="122"/>
    </row>
    <row r="770" spans="1:12" s="20" customFormat="1" ht="25.5">
      <c r="A770" s="31" t="s">
        <v>245</v>
      </c>
      <c r="B770" s="31" t="s">
        <v>113</v>
      </c>
      <c r="C770" s="31" t="s">
        <v>113</v>
      </c>
      <c r="D770" s="31"/>
      <c r="E770" s="12" t="s">
        <v>672</v>
      </c>
      <c r="F770" s="99"/>
      <c r="G770" s="146">
        <f>G771</f>
        <v>16478430</v>
      </c>
      <c r="H770" s="171"/>
      <c r="I770" s="146">
        <f>I771</f>
        <v>12064669</v>
      </c>
      <c r="J770" s="146">
        <f>J771</f>
        <v>10174731</v>
      </c>
      <c r="L770" s="122">
        <f>J770-'[1]Місто'!$P$521</f>
        <v>0</v>
      </c>
    </row>
    <row r="771" spans="1:12" s="21" customFormat="1" ht="25.5">
      <c r="A771" s="29" t="s">
        <v>246</v>
      </c>
      <c r="B771" s="18"/>
      <c r="C771" s="18"/>
      <c r="D771" s="18"/>
      <c r="E771" s="26" t="s">
        <v>672</v>
      </c>
      <c r="F771" s="100"/>
      <c r="G771" s="130">
        <f>G772+G774+G777+G785</f>
        <v>16478430</v>
      </c>
      <c r="H771" s="164"/>
      <c r="I771" s="130">
        <f>I772+I774+I777+I785</f>
        <v>12064669</v>
      </c>
      <c r="J771" s="130">
        <f>J772+J774+J777+J785</f>
        <v>10174731</v>
      </c>
      <c r="L771" s="122"/>
    </row>
    <row r="772" spans="1:12" s="21" customFormat="1" ht="12.75">
      <c r="A772" s="61" t="s">
        <v>617</v>
      </c>
      <c r="B772" s="61" t="s">
        <v>567</v>
      </c>
      <c r="C772" s="61" t="s">
        <v>833</v>
      </c>
      <c r="D772" s="61"/>
      <c r="E772" s="72" t="s">
        <v>569</v>
      </c>
      <c r="F772" s="100"/>
      <c r="G772" s="119"/>
      <c r="H772" s="164"/>
      <c r="I772" s="119"/>
      <c r="J772" s="130">
        <f>J773</f>
        <v>579141</v>
      </c>
      <c r="L772" s="122"/>
    </row>
    <row r="773" spans="1:12" s="21" customFormat="1" ht="51">
      <c r="A773" s="29" t="s">
        <v>21</v>
      </c>
      <c r="B773" s="24" t="s">
        <v>30</v>
      </c>
      <c r="C773" s="29" t="s">
        <v>515</v>
      </c>
      <c r="D773" s="29" t="s">
        <v>476</v>
      </c>
      <c r="E773" s="28" t="s">
        <v>764</v>
      </c>
      <c r="F773" s="126" t="s">
        <v>1110</v>
      </c>
      <c r="G773" s="119"/>
      <c r="H773" s="164"/>
      <c r="I773" s="119"/>
      <c r="J773" s="130">
        <f>'[1]Місто'!$P$524</f>
        <v>579141</v>
      </c>
      <c r="L773" s="122"/>
    </row>
    <row r="774" spans="1:12" s="21" customFormat="1" ht="12.75">
      <c r="A774" s="65" t="s">
        <v>618</v>
      </c>
      <c r="B774" s="65" t="s">
        <v>559</v>
      </c>
      <c r="C774" s="65" t="s">
        <v>932</v>
      </c>
      <c r="D774" s="65"/>
      <c r="E774" s="67" t="s">
        <v>561</v>
      </c>
      <c r="F774" s="100"/>
      <c r="G774" s="119"/>
      <c r="H774" s="164"/>
      <c r="I774" s="119"/>
      <c r="J774" s="130">
        <f>J775+J776</f>
        <v>1080676</v>
      </c>
      <c r="L774" s="122"/>
    </row>
    <row r="775" spans="1:12" s="2" customFormat="1" ht="38.25" hidden="1">
      <c r="A775" s="62" t="s">
        <v>656</v>
      </c>
      <c r="B775" s="62" t="s">
        <v>277</v>
      </c>
      <c r="C775" s="62" t="s">
        <v>933</v>
      </c>
      <c r="D775" s="62" t="s">
        <v>508</v>
      </c>
      <c r="E775" s="63" t="s">
        <v>284</v>
      </c>
      <c r="F775" s="102"/>
      <c r="G775" s="130"/>
      <c r="H775" s="169"/>
      <c r="I775" s="130"/>
      <c r="J775" s="130">
        <v>0</v>
      </c>
      <c r="L775" s="122"/>
    </row>
    <row r="776" spans="1:12" s="2" customFormat="1" ht="12.75">
      <c r="A776" s="6" t="s">
        <v>338</v>
      </c>
      <c r="B776" s="6" t="s">
        <v>89</v>
      </c>
      <c r="C776" s="6" t="s">
        <v>943</v>
      </c>
      <c r="D776" s="6" t="s">
        <v>509</v>
      </c>
      <c r="E776" s="3" t="s">
        <v>91</v>
      </c>
      <c r="F776" s="126" t="s">
        <v>1110</v>
      </c>
      <c r="G776" s="130"/>
      <c r="H776" s="169"/>
      <c r="I776" s="130"/>
      <c r="J776" s="130">
        <f>'[1]Місто'!$P$527</f>
        <v>1080676</v>
      </c>
      <c r="L776" s="122"/>
    </row>
    <row r="777" spans="1:12" s="2" customFormat="1" ht="12.75">
      <c r="A777" s="62" t="s">
        <v>619</v>
      </c>
      <c r="B777" s="61" t="s">
        <v>530</v>
      </c>
      <c r="C777" s="61" t="s">
        <v>838</v>
      </c>
      <c r="D777" s="61"/>
      <c r="E777" s="72" t="s">
        <v>532</v>
      </c>
      <c r="F777" s="102"/>
      <c r="G777" s="130">
        <f>G778</f>
        <v>16478430</v>
      </c>
      <c r="H777" s="169"/>
      <c r="I777" s="130">
        <f>I778</f>
        <v>12064669</v>
      </c>
      <c r="J777" s="130">
        <f>J778</f>
        <v>8514914</v>
      </c>
      <c r="L777" s="122"/>
    </row>
    <row r="778" spans="1:12" s="2" customFormat="1" ht="25.5">
      <c r="A778" s="77" t="s">
        <v>247</v>
      </c>
      <c r="B778" s="77" t="s">
        <v>63</v>
      </c>
      <c r="C778" s="77" t="s">
        <v>839</v>
      </c>
      <c r="D778" s="77" t="s">
        <v>478</v>
      </c>
      <c r="E778" s="144" t="s">
        <v>140</v>
      </c>
      <c r="F778" s="103"/>
      <c r="G778" s="141">
        <f>SUM(G779:G784)</f>
        <v>16478430</v>
      </c>
      <c r="H778" s="163"/>
      <c r="I778" s="141">
        <f>SUM(I779:I784)</f>
        <v>12064669</v>
      </c>
      <c r="J778" s="141">
        <f>SUM(J779:J784)</f>
        <v>8514914</v>
      </c>
      <c r="L778" s="122"/>
    </row>
    <row r="779" spans="1:12" s="20" customFormat="1" ht="38.25">
      <c r="A779" s="27" t="s">
        <v>247</v>
      </c>
      <c r="B779" s="15" t="s">
        <v>63</v>
      </c>
      <c r="C779" s="27" t="s">
        <v>839</v>
      </c>
      <c r="D779" s="27" t="s">
        <v>478</v>
      </c>
      <c r="E779" s="28" t="s">
        <v>140</v>
      </c>
      <c r="F779" s="25" t="s">
        <v>1095</v>
      </c>
      <c r="G779" s="120">
        <v>4993755</v>
      </c>
      <c r="H779" s="164">
        <f aca="true" t="shared" si="12" ref="H779:H784">100-(I779/G779*100)</f>
        <v>5.539158408852657</v>
      </c>
      <c r="I779" s="120">
        <v>4717143</v>
      </c>
      <c r="J779" s="120">
        <v>3330239</v>
      </c>
      <c r="K779" s="21"/>
      <c r="L779" s="122"/>
    </row>
    <row r="780" spans="1:12" s="21" customFormat="1" ht="27" customHeight="1">
      <c r="A780" s="27" t="s">
        <v>247</v>
      </c>
      <c r="B780" s="15" t="s">
        <v>63</v>
      </c>
      <c r="C780" s="15" t="s">
        <v>839</v>
      </c>
      <c r="D780" s="15" t="s">
        <v>478</v>
      </c>
      <c r="E780" s="22" t="s">
        <v>140</v>
      </c>
      <c r="F780" s="14" t="s">
        <v>1186</v>
      </c>
      <c r="G780" s="120">
        <v>6470416</v>
      </c>
      <c r="H780" s="164">
        <f t="shared" si="12"/>
        <v>63.93945922487828</v>
      </c>
      <c r="I780" s="119">
        <v>2333267</v>
      </c>
      <c r="J780" s="120">
        <f>2170416-2000000</f>
        <v>170416</v>
      </c>
      <c r="L780" s="122"/>
    </row>
    <row r="781" spans="1:12" s="21" customFormat="1" ht="66" customHeight="1" hidden="1">
      <c r="A781" s="27" t="s">
        <v>247</v>
      </c>
      <c r="B781" s="15" t="s">
        <v>63</v>
      </c>
      <c r="C781" s="15" t="s">
        <v>839</v>
      </c>
      <c r="D781" s="15" t="s">
        <v>478</v>
      </c>
      <c r="E781" s="22" t="s">
        <v>140</v>
      </c>
      <c r="F781" s="25" t="s">
        <v>1237</v>
      </c>
      <c r="G781" s="120"/>
      <c r="H781" s="164" t="e">
        <f t="shared" si="12"/>
        <v>#DIV/0!</v>
      </c>
      <c r="I781" s="119"/>
      <c r="J781" s="120">
        <f>299800-299800</f>
        <v>0</v>
      </c>
      <c r="L781" s="122"/>
    </row>
    <row r="782" spans="1:12" s="20" customFormat="1" ht="25.5">
      <c r="A782" s="27" t="s">
        <v>247</v>
      </c>
      <c r="B782" s="15" t="s">
        <v>63</v>
      </c>
      <c r="C782" s="27" t="s">
        <v>839</v>
      </c>
      <c r="D782" s="27" t="s">
        <v>478</v>
      </c>
      <c r="E782" s="25" t="s">
        <v>140</v>
      </c>
      <c r="F782" s="135" t="s">
        <v>1372</v>
      </c>
      <c r="G782" s="120">
        <v>497219</v>
      </c>
      <c r="H782" s="164">
        <f t="shared" si="12"/>
        <v>0</v>
      </c>
      <c r="I782" s="120">
        <v>497219</v>
      </c>
      <c r="J782" s="120">
        <f>300000+196000+1219</f>
        <v>497219</v>
      </c>
      <c r="K782" s="21"/>
      <c r="L782" s="122"/>
    </row>
    <row r="783" spans="1:12" s="20" customFormat="1" ht="25.5">
      <c r="A783" s="27" t="s">
        <v>247</v>
      </c>
      <c r="B783" s="15" t="s">
        <v>63</v>
      </c>
      <c r="C783" s="27" t="s">
        <v>839</v>
      </c>
      <c r="D783" s="27" t="s">
        <v>478</v>
      </c>
      <c r="E783" s="25" t="s">
        <v>140</v>
      </c>
      <c r="F783" s="135" t="s">
        <v>1309</v>
      </c>
      <c r="G783" s="120">
        <v>17040</v>
      </c>
      <c r="H783" s="164">
        <f t="shared" si="12"/>
        <v>0</v>
      </c>
      <c r="I783" s="120">
        <v>17040</v>
      </c>
      <c r="J783" s="120">
        <v>17040</v>
      </c>
      <c r="K783" s="21"/>
      <c r="L783" s="122"/>
    </row>
    <row r="784" spans="1:12" s="20" customFormat="1" ht="25.5">
      <c r="A784" s="27" t="s">
        <v>247</v>
      </c>
      <c r="B784" s="15" t="s">
        <v>63</v>
      </c>
      <c r="C784" s="27" t="s">
        <v>839</v>
      </c>
      <c r="D784" s="27" t="s">
        <v>478</v>
      </c>
      <c r="E784" s="28" t="s">
        <v>140</v>
      </c>
      <c r="F784" s="25" t="s">
        <v>1096</v>
      </c>
      <c r="G784" s="120">
        <v>4500000</v>
      </c>
      <c r="H784" s="164">
        <f t="shared" si="12"/>
        <v>0</v>
      </c>
      <c r="I784" s="120">
        <v>4500000</v>
      </c>
      <c r="J784" s="120">
        <v>4500000</v>
      </c>
      <c r="K784" s="21"/>
      <c r="L784" s="122"/>
    </row>
    <row r="785" spans="1:12" s="2" customFormat="1" ht="27.75" customHeight="1" hidden="1">
      <c r="A785" s="65" t="s">
        <v>620</v>
      </c>
      <c r="B785" s="65" t="s">
        <v>535</v>
      </c>
      <c r="C785" s="65" t="s">
        <v>843</v>
      </c>
      <c r="D785" s="65"/>
      <c r="E785" s="71" t="s">
        <v>536</v>
      </c>
      <c r="F785" s="102"/>
      <c r="G785" s="130"/>
      <c r="H785" s="169"/>
      <c r="I785" s="130"/>
      <c r="J785" s="130">
        <f>J786</f>
        <v>0</v>
      </c>
      <c r="L785" s="122"/>
    </row>
    <row r="786" spans="1:12" s="2" customFormat="1" ht="12.75" hidden="1">
      <c r="A786" s="48" t="s">
        <v>360</v>
      </c>
      <c r="B786" s="48" t="s">
        <v>50</v>
      </c>
      <c r="C786" s="48" t="s">
        <v>845</v>
      </c>
      <c r="D786" s="48"/>
      <c r="E786" s="54" t="s">
        <v>350</v>
      </c>
      <c r="F786" s="102"/>
      <c r="G786" s="130"/>
      <c r="H786" s="169"/>
      <c r="I786" s="130"/>
      <c r="J786" s="130">
        <f>SUM(J787:J795)</f>
        <v>0</v>
      </c>
      <c r="L786" s="122"/>
    </row>
    <row r="787" spans="1:12" ht="56.25" customHeight="1" hidden="1">
      <c r="A787" s="29" t="s">
        <v>798</v>
      </c>
      <c r="B787" s="27" t="s">
        <v>50</v>
      </c>
      <c r="C787" s="27" t="s">
        <v>846</v>
      </c>
      <c r="D787" s="27" t="s">
        <v>479</v>
      </c>
      <c r="E787" s="25" t="s">
        <v>143</v>
      </c>
      <c r="F787" s="98"/>
      <c r="G787" s="120"/>
      <c r="H787" s="165"/>
      <c r="I787" s="120"/>
      <c r="J787" s="120">
        <v>0</v>
      </c>
      <c r="L787" s="122"/>
    </row>
    <row r="788" spans="1:12" s="36" customFormat="1" ht="41.25" customHeight="1" hidden="1">
      <c r="A788" s="29" t="s">
        <v>304</v>
      </c>
      <c r="B788" s="18" t="s">
        <v>50</v>
      </c>
      <c r="C788" s="29" t="s">
        <v>847</v>
      </c>
      <c r="D788" s="27" t="s">
        <v>479</v>
      </c>
      <c r="E788" s="44" t="s">
        <v>737</v>
      </c>
      <c r="F788" s="101"/>
      <c r="G788" s="149"/>
      <c r="H788" s="175"/>
      <c r="I788" s="149"/>
      <c r="J788" s="120">
        <v>0</v>
      </c>
      <c r="L788" s="122"/>
    </row>
    <row r="789" spans="1:12" ht="51" customHeight="1" hidden="1">
      <c r="A789" s="29" t="s">
        <v>332</v>
      </c>
      <c r="B789" s="27" t="s">
        <v>50</v>
      </c>
      <c r="C789" s="27" t="s">
        <v>848</v>
      </c>
      <c r="D789" s="27" t="s">
        <v>479</v>
      </c>
      <c r="E789" s="25" t="s">
        <v>1103</v>
      </c>
      <c r="F789" s="98"/>
      <c r="G789" s="120"/>
      <c r="H789" s="165"/>
      <c r="I789" s="120"/>
      <c r="J789" s="120">
        <v>0</v>
      </c>
      <c r="L789" s="122"/>
    </row>
    <row r="790" spans="1:12" ht="50.25" customHeight="1" hidden="1">
      <c r="A790" s="29" t="s">
        <v>799</v>
      </c>
      <c r="B790" s="27" t="s">
        <v>50</v>
      </c>
      <c r="C790" s="27" t="s">
        <v>849</v>
      </c>
      <c r="D790" s="27" t="s">
        <v>479</v>
      </c>
      <c r="E790" s="25" t="s">
        <v>410</v>
      </c>
      <c r="F790" s="98"/>
      <c r="G790" s="120"/>
      <c r="H790" s="165"/>
      <c r="I790" s="120"/>
      <c r="J790" s="120">
        <v>0</v>
      </c>
      <c r="L790" s="122"/>
    </row>
    <row r="791" spans="1:12" ht="53.25" customHeight="1" hidden="1">
      <c r="A791" s="29" t="s">
        <v>372</v>
      </c>
      <c r="B791" s="27" t="s">
        <v>50</v>
      </c>
      <c r="C791" s="27" t="s">
        <v>850</v>
      </c>
      <c r="D791" s="27" t="s">
        <v>479</v>
      </c>
      <c r="E791" s="25" t="s">
        <v>299</v>
      </c>
      <c r="F791" s="98"/>
      <c r="G791" s="120"/>
      <c r="H791" s="165"/>
      <c r="I791" s="120"/>
      <c r="J791" s="120">
        <v>0</v>
      </c>
      <c r="L791" s="122"/>
    </row>
    <row r="792" spans="1:12" ht="38.25" hidden="1">
      <c r="A792" s="29" t="s">
        <v>396</v>
      </c>
      <c r="B792" s="27" t="s">
        <v>50</v>
      </c>
      <c r="C792" s="27" t="s">
        <v>851</v>
      </c>
      <c r="D792" s="27" t="s">
        <v>479</v>
      </c>
      <c r="E792" s="25" t="s">
        <v>276</v>
      </c>
      <c r="F792" s="98"/>
      <c r="G792" s="120"/>
      <c r="H792" s="165"/>
      <c r="I792" s="120"/>
      <c r="J792" s="120">
        <v>0</v>
      </c>
      <c r="L792" s="122"/>
    </row>
    <row r="793" spans="1:12" ht="102" customHeight="1" hidden="1">
      <c r="A793" s="29" t="s">
        <v>800</v>
      </c>
      <c r="B793" s="27" t="s">
        <v>50</v>
      </c>
      <c r="C793" s="27" t="s">
        <v>852</v>
      </c>
      <c r="D793" s="27" t="s">
        <v>479</v>
      </c>
      <c r="E793" s="25" t="s">
        <v>1102</v>
      </c>
      <c r="F793" s="98"/>
      <c r="G793" s="120"/>
      <c r="H793" s="165"/>
      <c r="I793" s="120"/>
      <c r="J793" s="120">
        <v>0</v>
      </c>
      <c r="L793" s="122"/>
    </row>
    <row r="794" spans="1:12" ht="25.5" hidden="1">
      <c r="A794" s="29" t="s">
        <v>378</v>
      </c>
      <c r="B794" s="27" t="s">
        <v>50</v>
      </c>
      <c r="C794" s="27" t="s">
        <v>853</v>
      </c>
      <c r="D794" s="27" t="s">
        <v>479</v>
      </c>
      <c r="E794" s="25" t="s">
        <v>763</v>
      </c>
      <c r="F794" s="98"/>
      <c r="G794" s="120"/>
      <c r="H794" s="165"/>
      <c r="I794" s="120"/>
      <c r="J794" s="120">
        <v>0</v>
      </c>
      <c r="L794" s="122"/>
    </row>
    <row r="795" spans="1:12" s="21" customFormat="1" ht="15" customHeight="1" hidden="1">
      <c r="A795" s="29" t="s">
        <v>801</v>
      </c>
      <c r="B795" s="18" t="s">
        <v>50</v>
      </c>
      <c r="C795" s="29" t="s">
        <v>854</v>
      </c>
      <c r="D795" s="29" t="s">
        <v>479</v>
      </c>
      <c r="E795" s="25" t="s">
        <v>716</v>
      </c>
      <c r="F795" s="100"/>
      <c r="G795" s="119"/>
      <c r="H795" s="164"/>
      <c r="I795" s="119"/>
      <c r="J795" s="120">
        <v>0</v>
      </c>
      <c r="L795" s="122"/>
    </row>
    <row r="796" spans="1:12" s="11" customFormat="1" ht="25.5">
      <c r="A796" s="10" t="s">
        <v>248</v>
      </c>
      <c r="B796" s="10" t="s">
        <v>114</v>
      </c>
      <c r="C796" s="10" t="s">
        <v>114</v>
      </c>
      <c r="D796" s="10"/>
      <c r="E796" s="12" t="s">
        <v>673</v>
      </c>
      <c r="F796" s="105"/>
      <c r="G796" s="158">
        <f>G797</f>
        <v>10713051</v>
      </c>
      <c r="H796" s="177"/>
      <c r="I796" s="158">
        <f>I797</f>
        <v>10460192</v>
      </c>
      <c r="J796" s="158">
        <f>J797</f>
        <v>10644744</v>
      </c>
      <c r="L796" s="122">
        <f>J796-'[1]Місто'!$P$545</f>
        <v>0</v>
      </c>
    </row>
    <row r="797" spans="1:12" s="2" customFormat="1" ht="25.5">
      <c r="A797" s="6" t="s">
        <v>249</v>
      </c>
      <c r="B797" s="6"/>
      <c r="C797" s="6"/>
      <c r="D797" s="6"/>
      <c r="E797" s="3" t="s">
        <v>673</v>
      </c>
      <c r="F797" s="102"/>
      <c r="G797" s="130">
        <f>G798+G800+G803+G809</f>
        <v>10713051</v>
      </c>
      <c r="H797" s="169"/>
      <c r="I797" s="130">
        <f>I798+I800+I803+I809</f>
        <v>10460192</v>
      </c>
      <c r="J797" s="130">
        <f>J798+J800+J803+J809</f>
        <v>10644744</v>
      </c>
      <c r="L797" s="122"/>
    </row>
    <row r="798" spans="1:12" s="2" customFormat="1" ht="12.75">
      <c r="A798" s="66" t="s">
        <v>621</v>
      </c>
      <c r="B798" s="65" t="s">
        <v>567</v>
      </c>
      <c r="C798" s="65" t="s">
        <v>833</v>
      </c>
      <c r="D798" s="65"/>
      <c r="E798" s="70" t="s">
        <v>569</v>
      </c>
      <c r="F798" s="102"/>
      <c r="G798" s="130"/>
      <c r="H798" s="169"/>
      <c r="I798" s="130"/>
      <c r="J798" s="130">
        <f>J799</f>
        <v>688868</v>
      </c>
      <c r="L798" s="122"/>
    </row>
    <row r="799" spans="1:12" s="1" customFormat="1" ht="51">
      <c r="A799" s="5" t="s">
        <v>22</v>
      </c>
      <c r="B799" s="5" t="s">
        <v>30</v>
      </c>
      <c r="C799" s="5" t="s">
        <v>515</v>
      </c>
      <c r="D799" s="5" t="s">
        <v>476</v>
      </c>
      <c r="E799" s="28" t="s">
        <v>764</v>
      </c>
      <c r="F799" s="109"/>
      <c r="G799" s="161"/>
      <c r="H799" s="179"/>
      <c r="I799" s="161"/>
      <c r="J799" s="130">
        <f>'[1]Місто'!$P$548</f>
        <v>688868</v>
      </c>
      <c r="L799" s="122"/>
    </row>
    <row r="800" spans="1:12" s="1" customFormat="1" ht="12.75">
      <c r="A800" s="65" t="s">
        <v>622</v>
      </c>
      <c r="B800" s="66" t="s">
        <v>559</v>
      </c>
      <c r="C800" s="66" t="s">
        <v>932</v>
      </c>
      <c r="D800" s="66"/>
      <c r="E800" s="67" t="s">
        <v>561</v>
      </c>
      <c r="F800" s="109"/>
      <c r="G800" s="161"/>
      <c r="H800" s="179"/>
      <c r="I800" s="161"/>
      <c r="J800" s="130">
        <f>J801+J802</f>
        <v>59800</v>
      </c>
      <c r="L800" s="122"/>
    </row>
    <row r="801" spans="1:12" s="2" customFormat="1" ht="38.25" hidden="1">
      <c r="A801" s="62" t="s">
        <v>657</v>
      </c>
      <c r="B801" s="62" t="s">
        <v>277</v>
      </c>
      <c r="C801" s="62" t="s">
        <v>933</v>
      </c>
      <c r="D801" s="62" t="s">
        <v>508</v>
      </c>
      <c r="E801" s="63" t="s">
        <v>284</v>
      </c>
      <c r="F801" s="102"/>
      <c r="G801" s="130"/>
      <c r="H801" s="169"/>
      <c r="I801" s="130"/>
      <c r="J801" s="130">
        <v>0</v>
      </c>
      <c r="L801" s="122"/>
    </row>
    <row r="802" spans="1:12" s="2" customFormat="1" ht="12.75">
      <c r="A802" s="6" t="s">
        <v>339</v>
      </c>
      <c r="B802" s="6" t="s">
        <v>89</v>
      </c>
      <c r="C802" s="6" t="s">
        <v>943</v>
      </c>
      <c r="D802" s="6" t="s">
        <v>509</v>
      </c>
      <c r="E802" s="3" t="s">
        <v>91</v>
      </c>
      <c r="F802" s="102"/>
      <c r="G802" s="130"/>
      <c r="H802" s="169"/>
      <c r="I802" s="130"/>
      <c r="J802" s="130">
        <f>'[1]Місто'!$P$551</f>
        <v>59800</v>
      </c>
      <c r="L802" s="122"/>
    </row>
    <row r="803" spans="1:12" s="2" customFormat="1" ht="12.75">
      <c r="A803" s="62" t="s">
        <v>623</v>
      </c>
      <c r="B803" s="61" t="s">
        <v>530</v>
      </c>
      <c r="C803" s="61" t="s">
        <v>838</v>
      </c>
      <c r="D803" s="61"/>
      <c r="E803" s="72" t="s">
        <v>561</v>
      </c>
      <c r="F803" s="102"/>
      <c r="G803" s="130">
        <f>G804</f>
        <v>10713051</v>
      </c>
      <c r="H803" s="169"/>
      <c r="I803" s="130">
        <f>I804</f>
        <v>10460192</v>
      </c>
      <c r="J803" s="130">
        <f>J804</f>
        <v>9896076</v>
      </c>
      <c r="L803" s="122"/>
    </row>
    <row r="804" spans="1:12" s="2" customFormat="1" ht="25.5">
      <c r="A804" s="77" t="s">
        <v>250</v>
      </c>
      <c r="B804" s="77" t="s">
        <v>63</v>
      </c>
      <c r="C804" s="77" t="s">
        <v>839</v>
      </c>
      <c r="D804" s="77" t="s">
        <v>478</v>
      </c>
      <c r="E804" s="144" t="s">
        <v>140</v>
      </c>
      <c r="F804" s="103"/>
      <c r="G804" s="141">
        <f>SUM(G805:G807)</f>
        <v>10713051</v>
      </c>
      <c r="H804" s="163"/>
      <c r="I804" s="141">
        <f>SUM(I805:I807)</f>
        <v>10460192</v>
      </c>
      <c r="J804" s="141">
        <f>SUM(J805:J807)</f>
        <v>9896076</v>
      </c>
      <c r="L804" s="122"/>
    </row>
    <row r="805" spans="1:12" s="20" customFormat="1" ht="50.25" customHeight="1">
      <c r="A805" s="15" t="s">
        <v>250</v>
      </c>
      <c r="B805" s="15" t="s">
        <v>63</v>
      </c>
      <c r="C805" s="15" t="s">
        <v>839</v>
      </c>
      <c r="D805" s="15" t="s">
        <v>478</v>
      </c>
      <c r="E805" s="22" t="s">
        <v>140</v>
      </c>
      <c r="F805" s="25" t="s">
        <v>1239</v>
      </c>
      <c r="G805" s="120">
        <v>10106155</v>
      </c>
      <c r="H805" s="164">
        <f>100-(I805/G805*100)</f>
        <v>2.502029703680577</v>
      </c>
      <c r="I805" s="120">
        <v>9853296</v>
      </c>
      <c r="J805" s="120">
        <f>9819670-530490</f>
        <v>9289180</v>
      </c>
      <c r="K805" s="129"/>
      <c r="L805" s="122"/>
    </row>
    <row r="806" spans="1:12" s="20" customFormat="1" ht="50.25" customHeight="1">
      <c r="A806" s="15" t="s">
        <v>250</v>
      </c>
      <c r="B806" s="15" t="s">
        <v>63</v>
      </c>
      <c r="C806" s="15" t="s">
        <v>839</v>
      </c>
      <c r="D806" s="15" t="s">
        <v>478</v>
      </c>
      <c r="E806" s="22" t="s">
        <v>140</v>
      </c>
      <c r="F806" s="25" t="s">
        <v>1360</v>
      </c>
      <c r="G806" s="120">
        <v>499982</v>
      </c>
      <c r="H806" s="164"/>
      <c r="I806" s="120">
        <v>499982</v>
      </c>
      <c r="J806" s="120">
        <v>499982</v>
      </c>
      <c r="K806" s="129"/>
      <c r="L806" s="122"/>
    </row>
    <row r="807" spans="1:12" s="20" customFormat="1" ht="25.5">
      <c r="A807" s="15" t="s">
        <v>250</v>
      </c>
      <c r="B807" s="15" t="s">
        <v>63</v>
      </c>
      <c r="C807" s="15" t="s">
        <v>839</v>
      </c>
      <c r="D807" s="15" t="s">
        <v>478</v>
      </c>
      <c r="E807" s="22" t="s">
        <v>140</v>
      </c>
      <c r="F807" s="25" t="s">
        <v>1340</v>
      </c>
      <c r="G807" s="120">
        <v>106914</v>
      </c>
      <c r="H807" s="164">
        <f>100-(I807/G807*100)</f>
        <v>0</v>
      </c>
      <c r="I807" s="120">
        <v>106914</v>
      </c>
      <c r="J807" s="120">
        <v>106914</v>
      </c>
      <c r="K807" s="129"/>
      <c r="L807" s="122"/>
    </row>
    <row r="808" spans="1:12" s="20" customFormat="1" ht="25.5" hidden="1">
      <c r="A808" s="27" t="s">
        <v>250</v>
      </c>
      <c r="B808" s="15" t="s">
        <v>63</v>
      </c>
      <c r="C808" s="27" t="s">
        <v>839</v>
      </c>
      <c r="D808" s="27" t="s">
        <v>478</v>
      </c>
      <c r="E808" s="28" t="s">
        <v>140</v>
      </c>
      <c r="F808" s="100"/>
      <c r="G808" s="119"/>
      <c r="H808" s="164"/>
      <c r="I808" s="119"/>
      <c r="J808" s="119"/>
      <c r="K808" s="21"/>
      <c r="L808" s="122"/>
    </row>
    <row r="809" spans="1:12" s="2" customFormat="1" ht="12.75" hidden="1">
      <c r="A809" s="65" t="s">
        <v>624</v>
      </c>
      <c r="B809" s="66" t="s">
        <v>535</v>
      </c>
      <c r="C809" s="66" t="s">
        <v>843</v>
      </c>
      <c r="D809" s="66"/>
      <c r="E809" s="71" t="s">
        <v>536</v>
      </c>
      <c r="F809" s="102"/>
      <c r="G809" s="130"/>
      <c r="H809" s="169"/>
      <c r="I809" s="130"/>
      <c r="J809" s="130">
        <f>J810</f>
        <v>0</v>
      </c>
      <c r="L809" s="122"/>
    </row>
    <row r="810" spans="1:12" s="2" customFormat="1" ht="17.25" customHeight="1" hidden="1">
      <c r="A810" s="48" t="s">
        <v>361</v>
      </c>
      <c r="B810" s="48" t="s">
        <v>50</v>
      </c>
      <c r="C810" s="48" t="s">
        <v>845</v>
      </c>
      <c r="D810" s="48"/>
      <c r="E810" s="50" t="s">
        <v>350</v>
      </c>
      <c r="F810" s="102"/>
      <c r="G810" s="130"/>
      <c r="H810" s="169"/>
      <c r="I810" s="130"/>
      <c r="J810" s="130">
        <f>SUM(J811:J819)</f>
        <v>0</v>
      </c>
      <c r="L810" s="122"/>
    </row>
    <row r="811" spans="1:12" ht="56.25" customHeight="1" hidden="1">
      <c r="A811" s="29" t="s">
        <v>802</v>
      </c>
      <c r="B811" s="27" t="s">
        <v>50</v>
      </c>
      <c r="C811" s="27" t="s">
        <v>846</v>
      </c>
      <c r="D811" s="27" t="s">
        <v>479</v>
      </c>
      <c r="E811" s="25" t="s">
        <v>143</v>
      </c>
      <c r="F811" s="98"/>
      <c r="G811" s="120"/>
      <c r="H811" s="165"/>
      <c r="I811" s="120"/>
      <c r="J811" s="120">
        <v>0</v>
      </c>
      <c r="L811" s="122"/>
    </row>
    <row r="812" spans="1:12" s="36" customFormat="1" ht="41.25" customHeight="1" hidden="1">
      <c r="A812" s="29" t="s">
        <v>305</v>
      </c>
      <c r="B812" s="18" t="s">
        <v>50</v>
      </c>
      <c r="C812" s="29" t="s">
        <v>847</v>
      </c>
      <c r="D812" s="27" t="s">
        <v>479</v>
      </c>
      <c r="E812" s="44" t="s">
        <v>737</v>
      </c>
      <c r="F812" s="101"/>
      <c r="G812" s="149"/>
      <c r="H812" s="175"/>
      <c r="I812" s="149"/>
      <c r="J812" s="120">
        <v>0</v>
      </c>
      <c r="L812" s="122"/>
    </row>
    <row r="813" spans="1:12" ht="51" customHeight="1" hidden="1">
      <c r="A813" s="29" t="s">
        <v>333</v>
      </c>
      <c r="B813" s="27" t="s">
        <v>50</v>
      </c>
      <c r="C813" s="27" t="s">
        <v>848</v>
      </c>
      <c r="D813" s="27" t="s">
        <v>479</v>
      </c>
      <c r="E813" s="25" t="s">
        <v>1103</v>
      </c>
      <c r="F813" s="98"/>
      <c r="G813" s="120"/>
      <c r="H813" s="165"/>
      <c r="I813" s="120"/>
      <c r="J813" s="120">
        <v>0</v>
      </c>
      <c r="L813" s="122"/>
    </row>
    <row r="814" spans="1:12" ht="50.25" customHeight="1" hidden="1">
      <c r="A814" s="29" t="s">
        <v>803</v>
      </c>
      <c r="B814" s="27" t="s">
        <v>50</v>
      </c>
      <c r="C814" s="27" t="s">
        <v>849</v>
      </c>
      <c r="D814" s="27" t="s">
        <v>479</v>
      </c>
      <c r="E814" s="25" t="s">
        <v>410</v>
      </c>
      <c r="F814" s="98"/>
      <c r="G814" s="120"/>
      <c r="H814" s="165"/>
      <c r="I814" s="120"/>
      <c r="J814" s="120">
        <v>0</v>
      </c>
      <c r="L814" s="122"/>
    </row>
    <row r="815" spans="1:12" ht="53.25" customHeight="1" hidden="1">
      <c r="A815" s="29" t="s">
        <v>373</v>
      </c>
      <c r="B815" s="27" t="s">
        <v>50</v>
      </c>
      <c r="C815" s="27" t="s">
        <v>850</v>
      </c>
      <c r="D815" s="27" t="s">
        <v>479</v>
      </c>
      <c r="E815" s="25" t="s">
        <v>299</v>
      </c>
      <c r="F815" s="98"/>
      <c r="G815" s="120"/>
      <c r="H815" s="165"/>
      <c r="I815" s="120"/>
      <c r="J815" s="120">
        <v>0</v>
      </c>
      <c r="L815" s="122"/>
    </row>
    <row r="816" spans="1:12" ht="38.25" hidden="1">
      <c r="A816" s="29" t="s">
        <v>397</v>
      </c>
      <c r="B816" s="27" t="s">
        <v>50</v>
      </c>
      <c r="C816" s="27" t="s">
        <v>851</v>
      </c>
      <c r="D816" s="27" t="s">
        <v>479</v>
      </c>
      <c r="E816" s="25" t="s">
        <v>276</v>
      </c>
      <c r="F816" s="98"/>
      <c r="G816" s="120"/>
      <c r="H816" s="165"/>
      <c r="I816" s="120"/>
      <c r="J816" s="120">
        <v>0</v>
      </c>
      <c r="L816" s="122"/>
    </row>
    <row r="817" spans="1:12" ht="102" customHeight="1" hidden="1">
      <c r="A817" s="29" t="s">
        <v>804</v>
      </c>
      <c r="B817" s="27" t="s">
        <v>50</v>
      </c>
      <c r="C817" s="27" t="s">
        <v>852</v>
      </c>
      <c r="D817" s="27" t="s">
        <v>479</v>
      </c>
      <c r="E817" s="25" t="s">
        <v>1102</v>
      </c>
      <c r="F817" s="98"/>
      <c r="G817" s="120"/>
      <c r="H817" s="165"/>
      <c r="I817" s="120"/>
      <c r="J817" s="120">
        <v>0</v>
      </c>
      <c r="L817" s="122"/>
    </row>
    <row r="818" spans="1:12" ht="25.5" hidden="1">
      <c r="A818" s="29" t="s">
        <v>379</v>
      </c>
      <c r="B818" s="27" t="s">
        <v>50</v>
      </c>
      <c r="C818" s="27" t="s">
        <v>853</v>
      </c>
      <c r="D818" s="27" t="s">
        <v>479</v>
      </c>
      <c r="E818" s="25" t="s">
        <v>763</v>
      </c>
      <c r="F818" s="98"/>
      <c r="G818" s="120"/>
      <c r="H818" s="165"/>
      <c r="I818" s="120"/>
      <c r="J818" s="120">
        <v>0</v>
      </c>
      <c r="L818" s="122"/>
    </row>
    <row r="819" spans="1:12" s="21" customFormat="1" ht="15" customHeight="1" hidden="1">
      <c r="A819" s="29" t="s">
        <v>805</v>
      </c>
      <c r="B819" s="18" t="s">
        <v>50</v>
      </c>
      <c r="C819" s="29" t="s">
        <v>854</v>
      </c>
      <c r="D819" s="29" t="s">
        <v>479</v>
      </c>
      <c r="E819" s="25" t="s">
        <v>716</v>
      </c>
      <c r="F819" s="100"/>
      <c r="G819" s="119"/>
      <c r="H819" s="164"/>
      <c r="I819" s="119"/>
      <c r="J819" s="120">
        <v>0</v>
      </c>
      <c r="L819" s="122"/>
    </row>
    <row r="820" spans="1:12" s="11" customFormat="1" ht="25.5">
      <c r="A820" s="10" t="s">
        <v>251</v>
      </c>
      <c r="B820" s="10" t="s">
        <v>115</v>
      </c>
      <c r="C820" s="10" t="s">
        <v>115</v>
      </c>
      <c r="D820" s="10"/>
      <c r="E820" s="12" t="s">
        <v>103</v>
      </c>
      <c r="F820" s="105"/>
      <c r="G820" s="158">
        <f>G821</f>
        <v>14644778</v>
      </c>
      <c r="H820" s="177"/>
      <c r="I820" s="158">
        <f>I821</f>
        <v>14644778</v>
      </c>
      <c r="J820" s="158">
        <f>J821</f>
        <v>14947730</v>
      </c>
      <c r="L820" s="122">
        <f>J820-'[1]Місто'!$P$568</f>
        <v>0</v>
      </c>
    </row>
    <row r="821" spans="1:12" s="2" customFormat="1" ht="25.5">
      <c r="A821" s="6" t="s">
        <v>252</v>
      </c>
      <c r="B821" s="6"/>
      <c r="C821" s="6"/>
      <c r="D821" s="6"/>
      <c r="E821" s="3" t="s">
        <v>103</v>
      </c>
      <c r="F821" s="102"/>
      <c r="G821" s="130">
        <f>G822+G824+G827+G838</f>
        <v>14644778</v>
      </c>
      <c r="H821" s="169"/>
      <c r="I821" s="130">
        <f>I822+I824+I827+I838</f>
        <v>14644778</v>
      </c>
      <c r="J821" s="130">
        <f>J822+J824+J827+J838</f>
        <v>14947730</v>
      </c>
      <c r="L821" s="122"/>
    </row>
    <row r="822" spans="1:12" s="2" customFormat="1" ht="12.75">
      <c r="A822" s="66" t="s">
        <v>625</v>
      </c>
      <c r="B822" s="65" t="s">
        <v>567</v>
      </c>
      <c r="C822" s="65" t="s">
        <v>833</v>
      </c>
      <c r="D822" s="65"/>
      <c r="E822" s="70" t="s">
        <v>569</v>
      </c>
      <c r="F822" s="102"/>
      <c r="G822" s="130"/>
      <c r="H822" s="169"/>
      <c r="I822" s="130"/>
      <c r="J822" s="130">
        <f>J823</f>
        <v>1712194</v>
      </c>
      <c r="L822" s="122"/>
    </row>
    <row r="823" spans="1:12" s="4" customFormat="1" ht="63" customHeight="1">
      <c r="A823" s="5" t="s">
        <v>23</v>
      </c>
      <c r="B823" s="5" t="s">
        <v>30</v>
      </c>
      <c r="C823" s="5" t="s">
        <v>515</v>
      </c>
      <c r="D823" s="5" t="s">
        <v>476</v>
      </c>
      <c r="E823" s="28" t="s">
        <v>764</v>
      </c>
      <c r="F823" s="110"/>
      <c r="G823" s="160"/>
      <c r="H823" s="178"/>
      <c r="I823" s="160"/>
      <c r="J823" s="130">
        <f>'[1]Місто'!$P$571</f>
        <v>1712194</v>
      </c>
      <c r="L823" s="122"/>
    </row>
    <row r="824" spans="1:12" s="4" customFormat="1" ht="12.75">
      <c r="A824" s="65" t="s">
        <v>626</v>
      </c>
      <c r="B824" s="66" t="s">
        <v>559</v>
      </c>
      <c r="C824" s="66" t="s">
        <v>932</v>
      </c>
      <c r="D824" s="66"/>
      <c r="E824" s="70" t="s">
        <v>561</v>
      </c>
      <c r="F824" s="110"/>
      <c r="G824" s="160"/>
      <c r="H824" s="178"/>
      <c r="I824" s="160"/>
      <c r="J824" s="130">
        <f>J825+J826</f>
        <v>590758</v>
      </c>
      <c r="L824" s="122"/>
    </row>
    <row r="825" spans="1:12" s="2" customFormat="1" ht="38.25" hidden="1">
      <c r="A825" s="62" t="s">
        <v>658</v>
      </c>
      <c r="B825" s="62" t="s">
        <v>277</v>
      </c>
      <c r="C825" s="62" t="s">
        <v>933</v>
      </c>
      <c r="D825" s="62" t="s">
        <v>508</v>
      </c>
      <c r="E825" s="63" t="s">
        <v>284</v>
      </c>
      <c r="F825" s="102"/>
      <c r="G825" s="130"/>
      <c r="H825" s="169"/>
      <c r="I825" s="130"/>
      <c r="J825" s="130">
        <v>0</v>
      </c>
      <c r="L825" s="122"/>
    </row>
    <row r="826" spans="1:12" s="2" customFormat="1" ht="12.75">
      <c r="A826" s="6" t="s">
        <v>340</v>
      </c>
      <c r="B826" s="6" t="s">
        <v>89</v>
      </c>
      <c r="C826" s="6" t="s">
        <v>943</v>
      </c>
      <c r="D826" s="6" t="s">
        <v>509</v>
      </c>
      <c r="E826" s="3" t="s">
        <v>91</v>
      </c>
      <c r="F826" s="126" t="s">
        <v>1110</v>
      </c>
      <c r="G826" s="130"/>
      <c r="H826" s="169"/>
      <c r="I826" s="130"/>
      <c r="J826" s="130">
        <f>'[1]Місто'!$P$574</f>
        <v>590758</v>
      </c>
      <c r="L826" s="122"/>
    </row>
    <row r="827" spans="1:12" s="2" customFormat="1" ht="12.75">
      <c r="A827" s="62" t="s">
        <v>627</v>
      </c>
      <c r="B827" s="62" t="s">
        <v>530</v>
      </c>
      <c r="C827" s="62" t="s">
        <v>838</v>
      </c>
      <c r="D827" s="62"/>
      <c r="E827" s="64" t="s">
        <v>532</v>
      </c>
      <c r="F827" s="102"/>
      <c r="G827" s="130">
        <f>G828</f>
        <v>14644778</v>
      </c>
      <c r="H827" s="169"/>
      <c r="I827" s="130">
        <f>I828</f>
        <v>14644778</v>
      </c>
      <c r="J827" s="130">
        <f>J828</f>
        <v>12644778</v>
      </c>
      <c r="L827" s="122"/>
    </row>
    <row r="828" spans="1:12" s="2" customFormat="1" ht="25.5">
      <c r="A828" s="77" t="s">
        <v>469</v>
      </c>
      <c r="B828" s="77" t="s">
        <v>63</v>
      </c>
      <c r="C828" s="77" t="s">
        <v>839</v>
      </c>
      <c r="D828" s="77" t="s">
        <v>478</v>
      </c>
      <c r="E828" s="144" t="s">
        <v>140</v>
      </c>
      <c r="F828" s="103"/>
      <c r="G828" s="141">
        <f>SUM(G829:G837)</f>
        <v>14644778</v>
      </c>
      <c r="H828" s="163"/>
      <c r="I828" s="141">
        <f>SUM(I829:I837)</f>
        <v>14644778</v>
      </c>
      <c r="J828" s="141">
        <f>SUM(J829:J837)</f>
        <v>12644778</v>
      </c>
      <c r="L828" s="122"/>
    </row>
    <row r="829" spans="1:12" s="21" customFormat="1" ht="25.5">
      <c r="A829" s="27" t="s">
        <v>469</v>
      </c>
      <c r="B829" s="15" t="s">
        <v>63</v>
      </c>
      <c r="C829" s="27" t="s">
        <v>839</v>
      </c>
      <c r="D829" s="27" t="s">
        <v>478</v>
      </c>
      <c r="E829" s="28" t="s">
        <v>140</v>
      </c>
      <c r="F829" s="25" t="s">
        <v>1363</v>
      </c>
      <c r="G829" s="120">
        <v>2005906</v>
      </c>
      <c r="H829" s="164">
        <f aca="true" t="shared" si="13" ref="H829:H836">100-(I829/G829*100)</f>
        <v>0</v>
      </c>
      <c r="I829" s="120">
        <v>2005906</v>
      </c>
      <c r="J829" s="120">
        <v>2005906</v>
      </c>
      <c r="L829" s="122"/>
    </row>
    <row r="830" spans="1:12" s="21" customFormat="1" ht="38.25">
      <c r="A830" s="27" t="s">
        <v>469</v>
      </c>
      <c r="B830" s="15" t="s">
        <v>63</v>
      </c>
      <c r="C830" s="27" t="s">
        <v>839</v>
      </c>
      <c r="D830" s="27" t="s">
        <v>478</v>
      </c>
      <c r="E830" s="28" t="s">
        <v>140</v>
      </c>
      <c r="F830" s="25" t="s">
        <v>1240</v>
      </c>
      <c r="G830" s="120">
        <v>1999906</v>
      </c>
      <c r="H830" s="164">
        <f t="shared" si="13"/>
        <v>0</v>
      </c>
      <c r="I830" s="120">
        <v>1999906</v>
      </c>
      <c r="J830" s="120">
        <v>1999906</v>
      </c>
      <c r="L830" s="122"/>
    </row>
    <row r="831" spans="1:12" s="21" customFormat="1" ht="29.25" customHeight="1">
      <c r="A831" s="27" t="s">
        <v>469</v>
      </c>
      <c r="B831" s="15" t="s">
        <v>63</v>
      </c>
      <c r="C831" s="27" t="s">
        <v>839</v>
      </c>
      <c r="D831" s="27" t="s">
        <v>478</v>
      </c>
      <c r="E831" s="28" t="s">
        <v>140</v>
      </c>
      <c r="F831" s="25" t="s">
        <v>1241</v>
      </c>
      <c r="G831" s="120">
        <v>999992</v>
      </c>
      <c r="H831" s="164">
        <f t="shared" si="13"/>
        <v>0</v>
      </c>
      <c r="I831" s="120">
        <v>999992</v>
      </c>
      <c r="J831" s="120">
        <v>999992</v>
      </c>
      <c r="L831" s="122"/>
    </row>
    <row r="832" spans="1:12" s="21" customFormat="1" ht="32.25" customHeight="1">
      <c r="A832" s="27" t="s">
        <v>469</v>
      </c>
      <c r="B832" s="15" t="s">
        <v>63</v>
      </c>
      <c r="C832" s="27" t="s">
        <v>839</v>
      </c>
      <c r="D832" s="27" t="s">
        <v>478</v>
      </c>
      <c r="E832" s="28" t="s">
        <v>140</v>
      </c>
      <c r="F832" s="14" t="s">
        <v>1223</v>
      </c>
      <c r="G832" s="120">
        <v>3999068</v>
      </c>
      <c r="H832" s="164">
        <f t="shared" si="13"/>
        <v>0</v>
      </c>
      <c r="I832" s="120">
        <v>3999068</v>
      </c>
      <c r="J832" s="120">
        <f>3999068-1000000</f>
        <v>2999068</v>
      </c>
      <c r="L832" s="122"/>
    </row>
    <row r="833" spans="1:12" s="21" customFormat="1" ht="31.5" customHeight="1">
      <c r="A833" s="27" t="s">
        <v>469</v>
      </c>
      <c r="B833" s="15" t="s">
        <v>63</v>
      </c>
      <c r="C833" s="27" t="s">
        <v>839</v>
      </c>
      <c r="D833" s="27" t="s">
        <v>478</v>
      </c>
      <c r="E833" s="28" t="s">
        <v>140</v>
      </c>
      <c r="F833" s="25" t="s">
        <v>1242</v>
      </c>
      <c r="G833" s="120">
        <v>4999906</v>
      </c>
      <c r="H833" s="164">
        <f t="shared" si="13"/>
        <v>0</v>
      </c>
      <c r="I833" s="120">
        <v>4999906</v>
      </c>
      <c r="J833" s="120">
        <f>4999906-1000000</f>
        <v>3999906</v>
      </c>
      <c r="L833" s="122"/>
    </row>
    <row r="834" spans="1:12" s="21" customFormat="1" ht="31.5" customHeight="1" hidden="1">
      <c r="A834" s="27" t="s">
        <v>469</v>
      </c>
      <c r="B834" s="15" t="s">
        <v>63</v>
      </c>
      <c r="C834" s="27" t="s">
        <v>839</v>
      </c>
      <c r="D834" s="27" t="s">
        <v>478</v>
      </c>
      <c r="E834" s="28" t="s">
        <v>140</v>
      </c>
      <c r="F834" s="25" t="s">
        <v>1361</v>
      </c>
      <c r="G834" s="120"/>
      <c r="H834" s="164" t="e">
        <f t="shared" si="13"/>
        <v>#DIV/0!</v>
      </c>
      <c r="I834" s="120"/>
      <c r="J834" s="120">
        <f>240000-240000</f>
        <v>0</v>
      </c>
      <c r="L834" s="122"/>
    </row>
    <row r="835" spans="1:12" s="21" customFormat="1" ht="31.5" customHeight="1">
      <c r="A835" s="27" t="s">
        <v>469</v>
      </c>
      <c r="B835" s="15" t="s">
        <v>63</v>
      </c>
      <c r="C835" s="27" t="s">
        <v>839</v>
      </c>
      <c r="D835" s="27" t="s">
        <v>478</v>
      </c>
      <c r="E835" s="28" t="s">
        <v>140</v>
      </c>
      <c r="F835" s="25" t="s">
        <v>1366</v>
      </c>
      <c r="G835" s="120">
        <v>400000</v>
      </c>
      <c r="H835" s="164">
        <f t="shared" si="13"/>
        <v>0</v>
      </c>
      <c r="I835" s="120">
        <v>400000</v>
      </c>
      <c r="J835" s="120">
        <v>400000</v>
      </c>
      <c r="L835" s="122"/>
    </row>
    <row r="836" spans="1:12" s="21" customFormat="1" ht="31.5" customHeight="1">
      <c r="A836" s="27" t="s">
        <v>469</v>
      </c>
      <c r="B836" s="15" t="s">
        <v>63</v>
      </c>
      <c r="C836" s="27" t="s">
        <v>839</v>
      </c>
      <c r="D836" s="27" t="s">
        <v>478</v>
      </c>
      <c r="E836" s="28" t="s">
        <v>140</v>
      </c>
      <c r="F836" s="25" t="s">
        <v>1376</v>
      </c>
      <c r="G836" s="120">
        <v>240000</v>
      </c>
      <c r="H836" s="164">
        <f t="shared" si="13"/>
        <v>0</v>
      </c>
      <c r="I836" s="120">
        <v>240000</v>
      </c>
      <c r="J836" s="120">
        <v>240000</v>
      </c>
      <c r="L836" s="122"/>
    </row>
    <row r="837" spans="1:12" s="20" customFormat="1" ht="12.75" hidden="1">
      <c r="A837" s="27"/>
      <c r="B837" s="15" t="s">
        <v>63</v>
      </c>
      <c r="C837" s="15"/>
      <c r="D837" s="27" t="s">
        <v>478</v>
      </c>
      <c r="E837" s="25" t="s">
        <v>831</v>
      </c>
      <c r="F837" s="100"/>
      <c r="G837" s="119"/>
      <c r="H837" s="164"/>
      <c r="I837" s="119"/>
      <c r="J837" s="119"/>
      <c r="K837" s="21"/>
      <c r="L837" s="122"/>
    </row>
    <row r="838" spans="1:12" s="2" customFormat="1" ht="12.75" hidden="1">
      <c r="A838" s="65" t="s">
        <v>628</v>
      </c>
      <c r="B838" s="65" t="s">
        <v>535</v>
      </c>
      <c r="C838" s="65" t="s">
        <v>843</v>
      </c>
      <c r="D838" s="65"/>
      <c r="E838" s="71" t="s">
        <v>536</v>
      </c>
      <c r="F838" s="102"/>
      <c r="G838" s="130"/>
      <c r="H838" s="169"/>
      <c r="I838" s="130"/>
      <c r="J838" s="130">
        <f>J839</f>
        <v>0</v>
      </c>
      <c r="L838" s="122"/>
    </row>
    <row r="839" spans="1:12" s="2" customFormat="1" ht="12.75" hidden="1">
      <c r="A839" s="48" t="s">
        <v>362</v>
      </c>
      <c r="B839" s="48" t="s">
        <v>50</v>
      </c>
      <c r="C839" s="48" t="s">
        <v>845</v>
      </c>
      <c r="D839" s="48"/>
      <c r="E839" s="54" t="s">
        <v>350</v>
      </c>
      <c r="F839" s="102"/>
      <c r="G839" s="130"/>
      <c r="H839" s="169"/>
      <c r="I839" s="130"/>
      <c r="J839" s="130">
        <f>SUM(J840:J848)</f>
        <v>0</v>
      </c>
      <c r="L839" s="122"/>
    </row>
    <row r="840" spans="1:12" ht="49.5" customHeight="1" hidden="1">
      <c r="A840" s="29" t="s">
        <v>806</v>
      </c>
      <c r="B840" s="27" t="s">
        <v>50</v>
      </c>
      <c r="C840" s="27" t="s">
        <v>846</v>
      </c>
      <c r="D840" s="27" t="s">
        <v>479</v>
      </c>
      <c r="E840" s="25" t="s">
        <v>143</v>
      </c>
      <c r="F840" s="98"/>
      <c r="G840" s="120"/>
      <c r="H840" s="165"/>
      <c r="I840" s="120"/>
      <c r="J840" s="120">
        <v>0</v>
      </c>
      <c r="L840" s="122"/>
    </row>
    <row r="841" spans="1:12" s="36" customFormat="1" ht="41.25" customHeight="1" hidden="1">
      <c r="A841" s="29" t="s">
        <v>306</v>
      </c>
      <c r="B841" s="18" t="s">
        <v>50</v>
      </c>
      <c r="C841" s="29" t="s">
        <v>847</v>
      </c>
      <c r="D841" s="27" t="s">
        <v>479</v>
      </c>
      <c r="E841" s="44" t="s">
        <v>737</v>
      </c>
      <c r="F841" s="101"/>
      <c r="G841" s="149"/>
      <c r="H841" s="175"/>
      <c r="I841" s="149"/>
      <c r="J841" s="120">
        <v>0</v>
      </c>
      <c r="L841" s="122"/>
    </row>
    <row r="842" spans="1:12" ht="51" customHeight="1" hidden="1">
      <c r="A842" s="29" t="s">
        <v>334</v>
      </c>
      <c r="B842" s="27" t="s">
        <v>50</v>
      </c>
      <c r="C842" s="27" t="s">
        <v>848</v>
      </c>
      <c r="D842" s="27" t="s">
        <v>479</v>
      </c>
      <c r="E842" s="25" t="s">
        <v>1103</v>
      </c>
      <c r="F842" s="98"/>
      <c r="G842" s="120"/>
      <c r="H842" s="165"/>
      <c r="I842" s="120"/>
      <c r="J842" s="120">
        <v>0</v>
      </c>
      <c r="L842" s="122"/>
    </row>
    <row r="843" spans="1:12" ht="50.25" customHeight="1" hidden="1">
      <c r="A843" s="29" t="s">
        <v>807</v>
      </c>
      <c r="B843" s="27" t="s">
        <v>50</v>
      </c>
      <c r="C843" s="27" t="s">
        <v>849</v>
      </c>
      <c r="D843" s="27" t="s">
        <v>479</v>
      </c>
      <c r="E843" s="25" t="s">
        <v>410</v>
      </c>
      <c r="F843" s="98"/>
      <c r="G843" s="120"/>
      <c r="H843" s="165"/>
      <c r="I843" s="120"/>
      <c r="J843" s="120">
        <v>0</v>
      </c>
      <c r="L843" s="122"/>
    </row>
    <row r="844" spans="1:12" ht="53.25" customHeight="1" hidden="1">
      <c r="A844" s="29" t="s">
        <v>370</v>
      </c>
      <c r="B844" s="27" t="s">
        <v>50</v>
      </c>
      <c r="C844" s="27" t="s">
        <v>850</v>
      </c>
      <c r="D844" s="27" t="s">
        <v>479</v>
      </c>
      <c r="E844" s="25" t="s">
        <v>299</v>
      </c>
      <c r="F844" s="98"/>
      <c r="G844" s="120"/>
      <c r="H844" s="165"/>
      <c r="I844" s="120"/>
      <c r="J844" s="120">
        <v>0</v>
      </c>
      <c r="L844" s="122"/>
    </row>
    <row r="845" spans="1:12" ht="38.25" hidden="1">
      <c r="A845" s="29" t="s">
        <v>398</v>
      </c>
      <c r="B845" s="27" t="s">
        <v>50</v>
      </c>
      <c r="C845" s="27" t="s">
        <v>851</v>
      </c>
      <c r="D845" s="27" t="s">
        <v>479</v>
      </c>
      <c r="E845" s="25" t="s">
        <v>276</v>
      </c>
      <c r="F845" s="98"/>
      <c r="G845" s="120"/>
      <c r="H845" s="165"/>
      <c r="I845" s="120"/>
      <c r="J845" s="120">
        <v>0</v>
      </c>
      <c r="L845" s="122"/>
    </row>
    <row r="846" spans="1:12" ht="102" customHeight="1" hidden="1">
      <c r="A846" s="29" t="s">
        <v>808</v>
      </c>
      <c r="B846" s="27" t="s">
        <v>50</v>
      </c>
      <c r="C846" s="27" t="s">
        <v>852</v>
      </c>
      <c r="D846" s="27" t="s">
        <v>479</v>
      </c>
      <c r="E846" s="25" t="s">
        <v>1102</v>
      </c>
      <c r="F846" s="98"/>
      <c r="G846" s="120"/>
      <c r="H846" s="165"/>
      <c r="I846" s="120"/>
      <c r="J846" s="120">
        <v>0</v>
      </c>
      <c r="L846" s="122"/>
    </row>
    <row r="847" spans="1:12" ht="25.5" hidden="1">
      <c r="A847" s="29" t="s">
        <v>380</v>
      </c>
      <c r="B847" s="27" t="s">
        <v>50</v>
      </c>
      <c r="C847" s="27" t="s">
        <v>853</v>
      </c>
      <c r="D847" s="27" t="s">
        <v>479</v>
      </c>
      <c r="E847" s="25" t="s">
        <v>763</v>
      </c>
      <c r="F847" s="98"/>
      <c r="G847" s="120"/>
      <c r="H847" s="165"/>
      <c r="I847" s="120"/>
      <c r="J847" s="120">
        <v>0</v>
      </c>
      <c r="L847" s="122"/>
    </row>
    <row r="848" spans="1:12" s="21" customFormat="1" ht="15" customHeight="1" hidden="1">
      <c r="A848" s="29" t="s">
        <v>809</v>
      </c>
      <c r="B848" s="18" t="s">
        <v>50</v>
      </c>
      <c r="C848" s="29" t="s">
        <v>854</v>
      </c>
      <c r="D848" s="29" t="s">
        <v>479</v>
      </c>
      <c r="E848" s="25" t="s">
        <v>716</v>
      </c>
      <c r="F848" s="100"/>
      <c r="G848" s="119"/>
      <c r="H848" s="164"/>
      <c r="I848" s="119"/>
      <c r="J848" s="120">
        <v>0</v>
      </c>
      <c r="L848" s="122"/>
    </row>
    <row r="849" spans="1:12" s="11" customFormat="1" ht="25.5">
      <c r="A849" s="10" t="s">
        <v>253</v>
      </c>
      <c r="B849" s="10" t="s">
        <v>116</v>
      </c>
      <c r="C849" s="10" t="s">
        <v>116</v>
      </c>
      <c r="D849" s="10"/>
      <c r="E849" s="12" t="s">
        <v>101</v>
      </c>
      <c r="F849" s="105"/>
      <c r="G849" s="158">
        <f>G850</f>
        <v>38135547</v>
      </c>
      <c r="H849" s="177"/>
      <c r="I849" s="158">
        <f>I850</f>
        <v>37019606</v>
      </c>
      <c r="J849" s="158">
        <f>J850</f>
        <v>4694815</v>
      </c>
      <c r="L849" s="122">
        <f>J849-'[1]Місто'!$P$591</f>
        <v>0</v>
      </c>
    </row>
    <row r="850" spans="1:12" s="2" customFormat="1" ht="25.5">
      <c r="A850" s="6" t="s">
        <v>254</v>
      </c>
      <c r="B850" s="6"/>
      <c r="C850" s="6"/>
      <c r="D850" s="6"/>
      <c r="E850" s="3" t="s">
        <v>101</v>
      </c>
      <c r="F850" s="102"/>
      <c r="G850" s="130">
        <f>G851+G853+G856+G860</f>
        <v>38135547</v>
      </c>
      <c r="H850" s="169"/>
      <c r="I850" s="130">
        <f>I851+I853+I856+I860</f>
        <v>37019606</v>
      </c>
      <c r="J850" s="130">
        <f>J851+J853+J856+J860</f>
        <v>4694815</v>
      </c>
      <c r="L850" s="122"/>
    </row>
    <row r="851" spans="1:12" s="2" customFormat="1" ht="12.75">
      <c r="A851" s="66" t="s">
        <v>629</v>
      </c>
      <c r="B851" s="65" t="s">
        <v>567</v>
      </c>
      <c r="C851" s="65" t="s">
        <v>833</v>
      </c>
      <c r="D851" s="65"/>
      <c r="E851" s="70" t="s">
        <v>569</v>
      </c>
      <c r="F851" s="102"/>
      <c r="G851" s="130"/>
      <c r="H851" s="169"/>
      <c r="I851" s="130"/>
      <c r="J851" s="130">
        <f>J852</f>
        <v>1591935</v>
      </c>
      <c r="L851" s="122"/>
    </row>
    <row r="852" spans="1:12" s="4" customFormat="1" ht="51">
      <c r="A852" s="5" t="s">
        <v>24</v>
      </c>
      <c r="B852" s="5" t="s">
        <v>30</v>
      </c>
      <c r="C852" s="5" t="s">
        <v>515</v>
      </c>
      <c r="D852" s="5" t="s">
        <v>476</v>
      </c>
      <c r="E852" s="28" t="s">
        <v>764</v>
      </c>
      <c r="F852" s="126" t="s">
        <v>1110</v>
      </c>
      <c r="G852" s="160"/>
      <c r="H852" s="178"/>
      <c r="I852" s="160"/>
      <c r="J852" s="130">
        <f>'[1]Місто'!$P$594</f>
        <v>1591935</v>
      </c>
      <c r="L852" s="122"/>
    </row>
    <row r="853" spans="1:12" s="4" customFormat="1" ht="12.75">
      <c r="A853" s="65" t="s">
        <v>630</v>
      </c>
      <c r="B853" s="66" t="s">
        <v>559</v>
      </c>
      <c r="C853" s="66" t="s">
        <v>932</v>
      </c>
      <c r="D853" s="66"/>
      <c r="E853" s="67" t="s">
        <v>561</v>
      </c>
      <c r="F853" s="110"/>
      <c r="G853" s="160"/>
      <c r="H853" s="178"/>
      <c r="I853" s="160"/>
      <c r="J853" s="130">
        <f>J854+J855</f>
        <v>59000</v>
      </c>
      <c r="L853" s="122"/>
    </row>
    <row r="854" spans="1:12" s="2" customFormat="1" ht="38.25" hidden="1">
      <c r="A854" s="62" t="s">
        <v>659</v>
      </c>
      <c r="B854" s="62" t="s">
        <v>277</v>
      </c>
      <c r="C854" s="62" t="s">
        <v>933</v>
      </c>
      <c r="D854" s="62" t="s">
        <v>508</v>
      </c>
      <c r="E854" s="63" t="s">
        <v>284</v>
      </c>
      <c r="F854" s="102"/>
      <c r="G854" s="130"/>
      <c r="H854" s="169"/>
      <c r="I854" s="130"/>
      <c r="J854" s="130">
        <v>0</v>
      </c>
      <c r="L854" s="122"/>
    </row>
    <row r="855" spans="1:12" s="2" customFormat="1" ht="12.75">
      <c r="A855" s="6" t="s">
        <v>341</v>
      </c>
      <c r="B855" s="6" t="s">
        <v>89</v>
      </c>
      <c r="C855" s="6" t="s">
        <v>943</v>
      </c>
      <c r="D855" s="6" t="s">
        <v>509</v>
      </c>
      <c r="E855" s="3" t="s">
        <v>91</v>
      </c>
      <c r="F855" s="126" t="s">
        <v>1110</v>
      </c>
      <c r="G855" s="130"/>
      <c r="H855" s="169"/>
      <c r="I855" s="130"/>
      <c r="J855" s="130">
        <f>'[1]Місто'!$P$597</f>
        <v>59000</v>
      </c>
      <c r="L855" s="122"/>
    </row>
    <row r="856" spans="1:12" s="2" customFormat="1" ht="12.75">
      <c r="A856" s="65" t="s">
        <v>632</v>
      </c>
      <c r="B856" s="65" t="s">
        <v>530</v>
      </c>
      <c r="C856" s="65" t="s">
        <v>838</v>
      </c>
      <c r="D856" s="65"/>
      <c r="E856" s="70" t="s">
        <v>532</v>
      </c>
      <c r="F856" s="102"/>
      <c r="G856" s="130">
        <f>G857</f>
        <v>38135547</v>
      </c>
      <c r="H856" s="169"/>
      <c r="I856" s="130">
        <f>I857</f>
        <v>37019606</v>
      </c>
      <c r="J856" s="130">
        <f>J857</f>
        <v>3043880</v>
      </c>
      <c r="L856" s="122"/>
    </row>
    <row r="857" spans="1:12" s="2" customFormat="1" ht="25.5">
      <c r="A857" s="145" t="s">
        <v>257</v>
      </c>
      <c r="B857" s="145" t="s">
        <v>63</v>
      </c>
      <c r="C857" s="145" t="s">
        <v>839</v>
      </c>
      <c r="D857" s="145" t="s">
        <v>478</v>
      </c>
      <c r="E857" s="140" t="s">
        <v>140</v>
      </c>
      <c r="F857" s="103"/>
      <c r="G857" s="141">
        <f>SUM(G858:G859)</f>
        <v>38135547</v>
      </c>
      <c r="H857" s="163"/>
      <c r="I857" s="141">
        <f>SUM(I858:I859)</f>
        <v>37019606</v>
      </c>
      <c r="J857" s="141">
        <f>SUM(J858:J859)</f>
        <v>3043880</v>
      </c>
      <c r="L857" s="122"/>
    </row>
    <row r="858" spans="1:12" s="21" customFormat="1" ht="30.75" customHeight="1">
      <c r="A858" s="29" t="s">
        <v>257</v>
      </c>
      <c r="B858" s="18"/>
      <c r="C858" s="27" t="s">
        <v>839</v>
      </c>
      <c r="D858" s="27" t="s">
        <v>478</v>
      </c>
      <c r="E858" s="28" t="s">
        <v>140</v>
      </c>
      <c r="F858" s="25" t="s">
        <v>1243</v>
      </c>
      <c r="G858" s="120">
        <v>28978000</v>
      </c>
      <c r="H858" s="164">
        <f>100-(I858/G858*100)</f>
        <v>2.2353026433846424</v>
      </c>
      <c r="I858" s="119">
        <v>28330254</v>
      </c>
      <c r="J858" s="120">
        <f>147000+2149</f>
        <v>149149</v>
      </c>
      <c r="K858" s="129"/>
      <c r="L858" s="122"/>
    </row>
    <row r="859" spans="1:12" s="21" customFormat="1" ht="30.75" customHeight="1">
      <c r="A859" s="18" t="s">
        <v>257</v>
      </c>
      <c r="B859" s="18"/>
      <c r="C859" s="15" t="s">
        <v>839</v>
      </c>
      <c r="D859" s="15" t="s">
        <v>478</v>
      </c>
      <c r="E859" s="22" t="s">
        <v>140</v>
      </c>
      <c r="F859" s="14" t="s">
        <v>1187</v>
      </c>
      <c r="G859" s="120">
        <v>9157547</v>
      </c>
      <c r="H859" s="164">
        <f>100-(I859/G859*100)</f>
        <v>5.112668272409621</v>
      </c>
      <c r="I859" s="119">
        <v>8689352</v>
      </c>
      <c r="J859" s="120">
        <f>4809114-2149+87766-2000000</f>
        <v>2894731</v>
      </c>
      <c r="K859" s="129"/>
      <c r="L859" s="122"/>
    </row>
    <row r="860" spans="1:12" s="2" customFormat="1" ht="12.75" hidden="1">
      <c r="A860" s="65" t="s">
        <v>631</v>
      </c>
      <c r="B860" s="65" t="s">
        <v>535</v>
      </c>
      <c r="C860" s="65" t="s">
        <v>843</v>
      </c>
      <c r="D860" s="65"/>
      <c r="E860" s="71" t="s">
        <v>536</v>
      </c>
      <c r="F860" s="102"/>
      <c r="G860" s="130"/>
      <c r="H860" s="169"/>
      <c r="I860" s="130"/>
      <c r="J860" s="130">
        <f>J861</f>
        <v>0</v>
      </c>
      <c r="L860" s="122"/>
    </row>
    <row r="861" spans="1:12" s="2" customFormat="1" ht="12.75" hidden="1">
      <c r="A861" s="48" t="s">
        <v>363</v>
      </c>
      <c r="B861" s="48" t="s">
        <v>50</v>
      </c>
      <c r="C861" s="48" t="s">
        <v>845</v>
      </c>
      <c r="D861" s="48"/>
      <c r="E861" s="54" t="s">
        <v>350</v>
      </c>
      <c r="F861" s="102"/>
      <c r="G861" s="130"/>
      <c r="H861" s="169"/>
      <c r="I861" s="130"/>
      <c r="J861" s="130">
        <f>SUM(J862:J870)</f>
        <v>0</v>
      </c>
      <c r="L861" s="122"/>
    </row>
    <row r="862" spans="1:12" ht="56.25" customHeight="1" hidden="1">
      <c r="A862" s="29" t="s">
        <v>810</v>
      </c>
      <c r="B862" s="27" t="s">
        <v>50</v>
      </c>
      <c r="C862" s="27" t="s">
        <v>846</v>
      </c>
      <c r="D862" s="27" t="s">
        <v>479</v>
      </c>
      <c r="E862" s="25" t="s">
        <v>143</v>
      </c>
      <c r="F862" s="98"/>
      <c r="G862" s="120"/>
      <c r="H862" s="165"/>
      <c r="I862" s="120"/>
      <c r="J862" s="120">
        <v>0</v>
      </c>
      <c r="L862" s="122"/>
    </row>
    <row r="863" spans="1:12" s="36" customFormat="1" ht="41.25" customHeight="1" hidden="1">
      <c r="A863" s="29" t="s">
        <v>307</v>
      </c>
      <c r="B863" s="18" t="s">
        <v>50</v>
      </c>
      <c r="C863" s="29" t="s">
        <v>847</v>
      </c>
      <c r="D863" s="27" t="s">
        <v>479</v>
      </c>
      <c r="E863" s="44" t="s">
        <v>737</v>
      </c>
      <c r="F863" s="101"/>
      <c r="G863" s="149"/>
      <c r="H863" s="175"/>
      <c r="I863" s="149"/>
      <c r="J863" s="120">
        <v>0</v>
      </c>
      <c r="L863" s="122"/>
    </row>
    <row r="864" spans="1:12" ht="51" customHeight="1" hidden="1">
      <c r="A864" s="29" t="s">
        <v>335</v>
      </c>
      <c r="B864" s="27" t="s">
        <v>50</v>
      </c>
      <c r="C864" s="27" t="s">
        <v>848</v>
      </c>
      <c r="D864" s="27" t="s">
        <v>479</v>
      </c>
      <c r="E864" s="25" t="s">
        <v>1103</v>
      </c>
      <c r="F864" s="98"/>
      <c r="G864" s="120"/>
      <c r="H864" s="165"/>
      <c r="I864" s="120"/>
      <c r="J864" s="120">
        <v>0</v>
      </c>
      <c r="L864" s="122"/>
    </row>
    <row r="865" spans="1:12" ht="50.25" customHeight="1" hidden="1">
      <c r="A865" s="29" t="s">
        <v>811</v>
      </c>
      <c r="B865" s="27" t="s">
        <v>50</v>
      </c>
      <c r="C865" s="27" t="s">
        <v>849</v>
      </c>
      <c r="D865" s="27" t="s">
        <v>479</v>
      </c>
      <c r="E865" s="25" t="s">
        <v>410</v>
      </c>
      <c r="F865" s="98"/>
      <c r="G865" s="120"/>
      <c r="H865" s="165"/>
      <c r="I865" s="120"/>
      <c r="J865" s="120">
        <v>0</v>
      </c>
      <c r="L865" s="122"/>
    </row>
    <row r="866" spans="1:12" ht="53.25" customHeight="1" hidden="1">
      <c r="A866" s="29" t="s">
        <v>401</v>
      </c>
      <c r="B866" s="27" t="s">
        <v>50</v>
      </c>
      <c r="C866" s="27" t="s">
        <v>850</v>
      </c>
      <c r="D866" s="27" t="s">
        <v>479</v>
      </c>
      <c r="E866" s="25" t="s">
        <v>299</v>
      </c>
      <c r="F866" s="98"/>
      <c r="G866" s="120"/>
      <c r="H866" s="165"/>
      <c r="I866" s="120"/>
      <c r="J866" s="120">
        <v>0</v>
      </c>
      <c r="L866" s="122"/>
    </row>
    <row r="867" spans="1:12" ht="38.25" hidden="1">
      <c r="A867" s="29" t="s">
        <v>399</v>
      </c>
      <c r="B867" s="27" t="s">
        <v>50</v>
      </c>
      <c r="C867" s="27" t="s">
        <v>851</v>
      </c>
      <c r="D867" s="27" t="s">
        <v>479</v>
      </c>
      <c r="E867" s="25" t="s">
        <v>276</v>
      </c>
      <c r="F867" s="98"/>
      <c r="G867" s="120"/>
      <c r="H867" s="165"/>
      <c r="I867" s="120"/>
      <c r="J867" s="120">
        <v>0</v>
      </c>
      <c r="L867" s="122"/>
    </row>
    <row r="868" spans="1:12" ht="102" customHeight="1" hidden="1">
      <c r="A868" s="29" t="s">
        <v>812</v>
      </c>
      <c r="B868" s="27" t="s">
        <v>50</v>
      </c>
      <c r="C868" s="27" t="s">
        <v>852</v>
      </c>
      <c r="D868" s="27" t="s">
        <v>479</v>
      </c>
      <c r="E868" s="25" t="s">
        <v>1102</v>
      </c>
      <c r="F868" s="98"/>
      <c r="G868" s="120"/>
      <c r="H868" s="165"/>
      <c r="I868" s="120"/>
      <c r="J868" s="120">
        <v>0</v>
      </c>
      <c r="L868" s="122"/>
    </row>
    <row r="869" spans="1:12" ht="25.5" hidden="1">
      <c r="A869" s="29" t="s">
        <v>381</v>
      </c>
      <c r="B869" s="27" t="s">
        <v>50</v>
      </c>
      <c r="C869" s="27" t="s">
        <v>853</v>
      </c>
      <c r="D869" s="27" t="s">
        <v>479</v>
      </c>
      <c r="E869" s="25" t="s">
        <v>763</v>
      </c>
      <c r="F869" s="98"/>
      <c r="G869" s="120"/>
      <c r="H869" s="165"/>
      <c r="I869" s="120"/>
      <c r="J869" s="120">
        <v>0</v>
      </c>
      <c r="L869" s="122"/>
    </row>
    <row r="870" spans="1:12" s="21" customFormat="1" ht="15" customHeight="1" hidden="1">
      <c r="A870" s="29" t="s">
        <v>813</v>
      </c>
      <c r="B870" s="18" t="s">
        <v>50</v>
      </c>
      <c r="C870" s="29" t="s">
        <v>854</v>
      </c>
      <c r="D870" s="29" t="s">
        <v>479</v>
      </c>
      <c r="E870" s="25" t="s">
        <v>716</v>
      </c>
      <c r="F870" s="100"/>
      <c r="G870" s="119"/>
      <c r="H870" s="164"/>
      <c r="I870" s="119"/>
      <c r="J870" s="120">
        <v>0</v>
      </c>
      <c r="L870" s="122"/>
    </row>
    <row r="871" spans="1:12" s="11" customFormat="1" ht="25.5">
      <c r="A871" s="10" t="s">
        <v>255</v>
      </c>
      <c r="B871" s="10" t="s">
        <v>117</v>
      </c>
      <c r="C871" s="10" t="s">
        <v>117</v>
      </c>
      <c r="D871" s="10"/>
      <c r="E871" s="12" t="s">
        <v>102</v>
      </c>
      <c r="F871" s="105"/>
      <c r="G871" s="158">
        <f>G872</f>
        <v>22370883</v>
      </c>
      <c r="H871" s="177"/>
      <c r="I871" s="158">
        <f>I872</f>
        <v>20178555</v>
      </c>
      <c r="J871" s="158">
        <f>J872</f>
        <v>5399191</v>
      </c>
      <c r="L871" s="122">
        <f>J871-'[1]Місто'!$P$614</f>
        <v>0</v>
      </c>
    </row>
    <row r="872" spans="1:12" s="2" customFormat="1" ht="25.5">
      <c r="A872" s="6" t="s">
        <v>256</v>
      </c>
      <c r="B872" s="6"/>
      <c r="C872" s="6"/>
      <c r="D872" s="6"/>
      <c r="E872" s="3" t="s">
        <v>102</v>
      </c>
      <c r="F872" s="102"/>
      <c r="G872" s="130">
        <f>G873+G875+G878+G883</f>
        <v>22370883</v>
      </c>
      <c r="H872" s="169"/>
      <c r="I872" s="130">
        <f>I873+I875+I878+I883</f>
        <v>20178555</v>
      </c>
      <c r="J872" s="130">
        <f>J873+J875+J878+J883</f>
        <v>5399191</v>
      </c>
      <c r="L872" s="122"/>
    </row>
    <row r="873" spans="1:12" s="2" customFormat="1" ht="12.75">
      <c r="A873" s="66" t="s">
        <v>633</v>
      </c>
      <c r="B873" s="65" t="s">
        <v>567</v>
      </c>
      <c r="C873" s="65" t="s">
        <v>833</v>
      </c>
      <c r="D873" s="65"/>
      <c r="E873" s="70" t="s">
        <v>569</v>
      </c>
      <c r="F873" s="102"/>
      <c r="G873" s="130"/>
      <c r="H873" s="169"/>
      <c r="I873" s="130"/>
      <c r="J873" s="130">
        <f>J874</f>
        <v>2173226</v>
      </c>
      <c r="L873" s="122"/>
    </row>
    <row r="874" spans="1:12" s="4" customFormat="1" ht="51">
      <c r="A874" s="5" t="s">
        <v>25</v>
      </c>
      <c r="B874" s="5" t="s">
        <v>30</v>
      </c>
      <c r="C874" s="5" t="s">
        <v>515</v>
      </c>
      <c r="D874" s="5" t="s">
        <v>476</v>
      </c>
      <c r="E874" s="28" t="s">
        <v>764</v>
      </c>
      <c r="F874" s="126" t="s">
        <v>1110</v>
      </c>
      <c r="G874" s="160"/>
      <c r="H874" s="178"/>
      <c r="I874" s="160"/>
      <c r="J874" s="130">
        <f>'[1]Місто'!$P$617</f>
        <v>2173226</v>
      </c>
      <c r="L874" s="122"/>
    </row>
    <row r="875" spans="1:12" s="4" customFormat="1" ht="12.75" hidden="1">
      <c r="A875" s="65" t="s">
        <v>634</v>
      </c>
      <c r="B875" s="66" t="s">
        <v>559</v>
      </c>
      <c r="C875" s="66" t="s">
        <v>932</v>
      </c>
      <c r="D875" s="66"/>
      <c r="E875" s="67" t="s">
        <v>561</v>
      </c>
      <c r="F875" s="110"/>
      <c r="G875" s="160"/>
      <c r="H875" s="178"/>
      <c r="I875" s="160"/>
      <c r="J875" s="130">
        <f>J876+J877</f>
        <v>0</v>
      </c>
      <c r="L875" s="122"/>
    </row>
    <row r="876" spans="1:12" s="2" customFormat="1" ht="38.25" hidden="1">
      <c r="A876" s="62" t="s">
        <v>660</v>
      </c>
      <c r="B876" s="62" t="s">
        <v>277</v>
      </c>
      <c r="C876" s="62" t="s">
        <v>933</v>
      </c>
      <c r="D876" s="62" t="s">
        <v>508</v>
      </c>
      <c r="E876" s="63" t="s">
        <v>284</v>
      </c>
      <c r="F876" s="102"/>
      <c r="G876" s="130"/>
      <c r="H876" s="169"/>
      <c r="I876" s="130"/>
      <c r="J876" s="130">
        <v>0</v>
      </c>
      <c r="L876" s="122"/>
    </row>
    <row r="877" spans="1:12" s="2" customFormat="1" ht="12.75" hidden="1">
      <c r="A877" s="6" t="s">
        <v>342</v>
      </c>
      <c r="B877" s="6" t="s">
        <v>89</v>
      </c>
      <c r="C877" s="6" t="s">
        <v>943</v>
      </c>
      <c r="D877" s="6" t="s">
        <v>509</v>
      </c>
      <c r="E877" s="3" t="s">
        <v>91</v>
      </c>
      <c r="F877" s="102"/>
      <c r="G877" s="130"/>
      <c r="H877" s="169"/>
      <c r="I877" s="130"/>
      <c r="J877" s="130">
        <v>0</v>
      </c>
      <c r="L877" s="122"/>
    </row>
    <row r="878" spans="1:12" s="2" customFormat="1" ht="12.75">
      <c r="A878" s="62" t="s">
        <v>635</v>
      </c>
      <c r="B878" s="61" t="s">
        <v>530</v>
      </c>
      <c r="C878" s="61" t="s">
        <v>838</v>
      </c>
      <c r="D878" s="61"/>
      <c r="E878" s="72" t="s">
        <v>532</v>
      </c>
      <c r="F878" s="102"/>
      <c r="G878" s="130">
        <f>G879</f>
        <v>22370883</v>
      </c>
      <c r="H878" s="169"/>
      <c r="I878" s="130">
        <f>I879</f>
        <v>20178555</v>
      </c>
      <c r="J878" s="130">
        <f>J879</f>
        <v>3225965</v>
      </c>
      <c r="L878" s="122"/>
    </row>
    <row r="879" spans="1:12" s="2" customFormat="1" ht="25.5">
      <c r="A879" s="77" t="s">
        <v>473</v>
      </c>
      <c r="B879" s="77" t="s">
        <v>63</v>
      </c>
      <c r="C879" s="77" t="s">
        <v>839</v>
      </c>
      <c r="D879" s="77" t="s">
        <v>478</v>
      </c>
      <c r="E879" s="144" t="s">
        <v>140</v>
      </c>
      <c r="F879" s="103"/>
      <c r="G879" s="141">
        <f>SUM(G880:G882)</f>
        <v>22370883</v>
      </c>
      <c r="H879" s="163"/>
      <c r="I879" s="141">
        <f>SUM(I880:I882)</f>
        <v>20178555</v>
      </c>
      <c r="J879" s="141">
        <f>SUM(J880:J882)</f>
        <v>3225965</v>
      </c>
      <c r="L879" s="122"/>
    </row>
    <row r="880" spans="1:12" s="2" customFormat="1" ht="25.5">
      <c r="A880" s="27" t="s">
        <v>473</v>
      </c>
      <c r="B880" s="15" t="s">
        <v>63</v>
      </c>
      <c r="C880" s="27" t="s">
        <v>839</v>
      </c>
      <c r="D880" s="27" t="s">
        <v>478</v>
      </c>
      <c r="E880" s="28" t="s">
        <v>140</v>
      </c>
      <c r="F880" s="100" t="s">
        <v>1225</v>
      </c>
      <c r="G880" s="120">
        <v>300000</v>
      </c>
      <c r="H880" s="164">
        <f>100-(I880/G880*100)</f>
        <v>0</v>
      </c>
      <c r="I880" s="120">
        <v>300000</v>
      </c>
      <c r="J880" s="120">
        <v>300000</v>
      </c>
      <c r="L880" s="122"/>
    </row>
    <row r="881" spans="1:12" s="20" customFormat="1" ht="25.5">
      <c r="A881" s="27" t="s">
        <v>473</v>
      </c>
      <c r="B881" s="15" t="s">
        <v>63</v>
      </c>
      <c r="C881" s="27" t="s">
        <v>839</v>
      </c>
      <c r="D881" s="27" t="s">
        <v>478</v>
      </c>
      <c r="E881" s="28" t="s">
        <v>140</v>
      </c>
      <c r="F881" s="25" t="s">
        <v>1097</v>
      </c>
      <c r="G881" s="120">
        <v>22070883</v>
      </c>
      <c r="H881" s="164">
        <f>100-(I881/G881*100)</f>
        <v>9.933123201278349</v>
      </c>
      <c r="I881" s="120">
        <v>19878555</v>
      </c>
      <c r="J881" s="120">
        <f>6275965-350000-5500000+2500000</f>
        <v>2925965</v>
      </c>
      <c r="K881" s="21"/>
      <c r="L881" s="122"/>
    </row>
    <row r="882" spans="1:12" s="20" customFormat="1" ht="25.5" hidden="1">
      <c r="A882" s="27" t="s">
        <v>473</v>
      </c>
      <c r="B882" s="15" t="s">
        <v>63</v>
      </c>
      <c r="C882" s="27" t="s">
        <v>839</v>
      </c>
      <c r="D882" s="27" t="s">
        <v>478</v>
      </c>
      <c r="E882" s="28" t="s">
        <v>140</v>
      </c>
      <c r="F882" s="100"/>
      <c r="G882" s="119"/>
      <c r="H882" s="119"/>
      <c r="I882" s="119"/>
      <c r="J882" s="119"/>
      <c r="K882" s="21"/>
      <c r="L882" s="122"/>
    </row>
    <row r="883" spans="1:12" s="2" customFormat="1" ht="25.5" customHeight="1" hidden="1">
      <c r="A883" s="65" t="s">
        <v>636</v>
      </c>
      <c r="B883" s="66" t="s">
        <v>535</v>
      </c>
      <c r="C883" s="66" t="s">
        <v>843</v>
      </c>
      <c r="D883" s="66"/>
      <c r="E883" s="71" t="s">
        <v>536</v>
      </c>
      <c r="F883" s="102"/>
      <c r="G883" s="130"/>
      <c r="H883" s="130"/>
      <c r="I883" s="130"/>
      <c r="J883" s="130">
        <f>J884</f>
        <v>0</v>
      </c>
      <c r="L883" s="122"/>
    </row>
    <row r="884" spans="1:12" s="2" customFormat="1" ht="17.25" customHeight="1" hidden="1">
      <c r="A884" s="48" t="s">
        <v>364</v>
      </c>
      <c r="B884" s="48" t="s">
        <v>50</v>
      </c>
      <c r="C884" s="48" t="s">
        <v>845</v>
      </c>
      <c r="D884" s="48"/>
      <c r="E884" s="54" t="s">
        <v>350</v>
      </c>
      <c r="F884" s="102"/>
      <c r="G884" s="130"/>
      <c r="H884" s="130"/>
      <c r="I884" s="130"/>
      <c r="J884" s="130">
        <f>SUM(J885:J893)</f>
        <v>0</v>
      </c>
      <c r="L884" s="122"/>
    </row>
    <row r="885" spans="1:12" ht="56.25" customHeight="1" hidden="1">
      <c r="A885" s="29" t="s">
        <v>814</v>
      </c>
      <c r="B885" s="27" t="s">
        <v>50</v>
      </c>
      <c r="C885" s="27" t="s">
        <v>846</v>
      </c>
      <c r="D885" s="27" t="s">
        <v>479</v>
      </c>
      <c r="E885" s="25" t="s">
        <v>143</v>
      </c>
      <c r="F885" s="98"/>
      <c r="G885" s="120"/>
      <c r="H885" s="120"/>
      <c r="I885" s="120"/>
      <c r="J885" s="120">
        <v>0</v>
      </c>
      <c r="L885" s="122"/>
    </row>
    <row r="886" spans="1:12" s="36" customFormat="1" ht="41.25" customHeight="1" hidden="1">
      <c r="A886" s="29" t="s">
        <v>308</v>
      </c>
      <c r="B886" s="18" t="s">
        <v>50</v>
      </c>
      <c r="C886" s="29" t="s">
        <v>847</v>
      </c>
      <c r="D886" s="27" t="s">
        <v>479</v>
      </c>
      <c r="E886" s="44" t="s">
        <v>737</v>
      </c>
      <c r="F886" s="101"/>
      <c r="G886" s="149"/>
      <c r="H886" s="149"/>
      <c r="I886" s="149"/>
      <c r="J886" s="120">
        <v>0</v>
      </c>
      <c r="L886" s="122"/>
    </row>
    <row r="887" spans="1:12" ht="51" customHeight="1" hidden="1">
      <c r="A887" s="29" t="s">
        <v>336</v>
      </c>
      <c r="B887" s="27" t="s">
        <v>50</v>
      </c>
      <c r="C887" s="27" t="s">
        <v>848</v>
      </c>
      <c r="D887" s="27" t="s">
        <v>479</v>
      </c>
      <c r="E887" s="25" t="s">
        <v>1103</v>
      </c>
      <c r="F887" s="98"/>
      <c r="G887" s="120"/>
      <c r="H887" s="120"/>
      <c r="I887" s="120"/>
      <c r="J887" s="120">
        <v>0</v>
      </c>
      <c r="L887" s="122"/>
    </row>
    <row r="888" spans="1:12" ht="50.25" customHeight="1" hidden="1">
      <c r="A888" s="29" t="s">
        <v>815</v>
      </c>
      <c r="B888" s="27" t="s">
        <v>50</v>
      </c>
      <c r="C888" s="27" t="s">
        <v>849</v>
      </c>
      <c r="D888" s="27" t="s">
        <v>479</v>
      </c>
      <c r="E888" s="25" t="s">
        <v>410</v>
      </c>
      <c r="F888" s="98"/>
      <c r="G888" s="120"/>
      <c r="H888" s="120"/>
      <c r="I888" s="120"/>
      <c r="J888" s="120">
        <v>0</v>
      </c>
      <c r="L888" s="122"/>
    </row>
    <row r="889" spans="1:12" ht="53.25" customHeight="1" hidden="1">
      <c r="A889" s="29" t="s">
        <v>402</v>
      </c>
      <c r="B889" s="27" t="s">
        <v>50</v>
      </c>
      <c r="C889" s="27" t="s">
        <v>850</v>
      </c>
      <c r="D889" s="27" t="s">
        <v>479</v>
      </c>
      <c r="E889" s="25" t="s">
        <v>299</v>
      </c>
      <c r="F889" s="98"/>
      <c r="G889" s="120"/>
      <c r="H889" s="120"/>
      <c r="I889" s="120"/>
      <c r="J889" s="120">
        <v>0</v>
      </c>
      <c r="L889" s="122"/>
    </row>
    <row r="890" spans="1:12" ht="38.25" hidden="1">
      <c r="A890" s="29" t="s">
        <v>400</v>
      </c>
      <c r="B890" s="27" t="s">
        <v>50</v>
      </c>
      <c r="C890" s="27" t="s">
        <v>851</v>
      </c>
      <c r="D890" s="27" t="s">
        <v>479</v>
      </c>
      <c r="E890" s="25" t="s">
        <v>276</v>
      </c>
      <c r="F890" s="98"/>
      <c r="G890" s="120"/>
      <c r="H890" s="120"/>
      <c r="I890" s="120"/>
      <c r="J890" s="120">
        <v>0</v>
      </c>
      <c r="L890" s="122"/>
    </row>
    <row r="891" spans="1:12" ht="102" customHeight="1" hidden="1">
      <c r="A891" s="29" t="s">
        <v>816</v>
      </c>
      <c r="B891" s="27" t="s">
        <v>50</v>
      </c>
      <c r="C891" s="27" t="s">
        <v>852</v>
      </c>
      <c r="D891" s="27" t="s">
        <v>479</v>
      </c>
      <c r="E891" s="25" t="s">
        <v>1102</v>
      </c>
      <c r="F891" s="98"/>
      <c r="G891" s="120"/>
      <c r="H891" s="120"/>
      <c r="I891" s="120"/>
      <c r="J891" s="120">
        <v>0</v>
      </c>
      <c r="L891" s="122"/>
    </row>
    <row r="892" spans="1:12" ht="25.5" hidden="1">
      <c r="A892" s="29" t="s">
        <v>392</v>
      </c>
      <c r="B892" s="27" t="s">
        <v>50</v>
      </c>
      <c r="C892" s="27" t="s">
        <v>853</v>
      </c>
      <c r="D892" s="27" t="s">
        <v>479</v>
      </c>
      <c r="E892" s="25" t="s">
        <v>763</v>
      </c>
      <c r="F892" s="98"/>
      <c r="G892" s="120"/>
      <c r="H892" s="120"/>
      <c r="I892" s="120"/>
      <c r="J892" s="120">
        <v>0</v>
      </c>
      <c r="L892" s="122"/>
    </row>
    <row r="893" spans="1:12" s="21" customFormat="1" ht="15" customHeight="1" hidden="1">
      <c r="A893" s="29" t="s">
        <v>817</v>
      </c>
      <c r="B893" s="18" t="s">
        <v>50</v>
      </c>
      <c r="C893" s="29" t="s">
        <v>854</v>
      </c>
      <c r="D893" s="29" t="s">
        <v>479</v>
      </c>
      <c r="E893" s="25" t="s">
        <v>716</v>
      </c>
      <c r="F893" s="100"/>
      <c r="G893" s="119"/>
      <c r="H893" s="119"/>
      <c r="I893" s="119"/>
      <c r="J893" s="120">
        <v>0</v>
      </c>
      <c r="L893" s="122"/>
    </row>
    <row r="894" spans="1:12" ht="18.75" customHeight="1">
      <c r="A894" s="10"/>
      <c r="B894" s="10"/>
      <c r="C894" s="10"/>
      <c r="D894" s="10"/>
      <c r="E894" s="35" t="s">
        <v>51</v>
      </c>
      <c r="F894" s="35"/>
      <c r="G894" s="121"/>
      <c r="H894" s="121"/>
      <c r="I894" s="121"/>
      <c r="J894" s="162">
        <f>J12+J42+J96+J119+J154+J191+J200+J204+J231+J249+J253+J313+J605+J612+J621+J625+J629+J635+J656+J685+J693+J711+J718+J723+J745+J770+J796+J820+J849+J871+J227</f>
        <v>1650238118</v>
      </c>
      <c r="L894" s="122">
        <f>J894-'[1]Місто'!$P$637</f>
        <v>0</v>
      </c>
    </row>
    <row r="895" spans="2:8" ht="51" customHeight="1">
      <c r="B895" s="208" t="s">
        <v>258</v>
      </c>
      <c r="C895" s="208"/>
      <c r="D895" s="208"/>
      <c r="E895" s="208"/>
      <c r="H895" s="127" t="s">
        <v>1104</v>
      </c>
    </row>
    <row r="898" ht="12.75">
      <c r="F898" s="180"/>
    </row>
  </sheetData>
  <sheetProtection/>
  <mergeCells count="12">
    <mergeCell ref="A8:A10"/>
    <mergeCell ref="B8:B10"/>
    <mergeCell ref="E8:E10"/>
    <mergeCell ref="H8:H10"/>
    <mergeCell ref="I8:I10"/>
    <mergeCell ref="J8:J10"/>
    <mergeCell ref="D5:J5"/>
    <mergeCell ref="D8:D10"/>
    <mergeCell ref="F8:F10"/>
    <mergeCell ref="G8:G10"/>
    <mergeCell ref="B895:E895"/>
    <mergeCell ref="C8:C10"/>
  </mergeCells>
  <printOptions/>
  <pageMargins left="0.7086614173228347" right="0.7086614173228347" top="1.11" bottom="0.39" header="0.31496062992125984" footer="0.31496062992125984"/>
  <pageSetup fitToHeight="46" fitToWidth="1" horizontalDpi="600" verticalDpi="600" orientation="landscape" paperSize="9" scale="60" r:id="rId1"/>
  <headerFooter differentFirst="1" alignWithMargins="0">
    <oddHeader>&amp;C&amp;P</oddHeader>
  </headerFooter>
  <rowBreaks count="1" manualBreakCount="1">
    <brk id="87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dc:creator>
  <cp:keywords/>
  <dc:description/>
  <cp:lastModifiedBy>user</cp:lastModifiedBy>
  <cp:lastPrinted>2017-06-01T11:16:01Z</cp:lastPrinted>
  <dcterms:created xsi:type="dcterms:W3CDTF">2002-01-02T08:54:19Z</dcterms:created>
  <dcterms:modified xsi:type="dcterms:W3CDTF">2017-06-06T11:30:40Z</dcterms:modified>
  <cp:category/>
  <cp:version/>
  <cp:contentType/>
  <cp:contentStatus/>
</cp:coreProperties>
</file>