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15375" windowHeight="8235" tabRatio="475" activeTab="0"/>
  </bookViews>
  <sheets>
    <sheet name="додаток 7" sheetId="1" r:id="rId1"/>
    <sheet name="власні надходж" sheetId="2" state="hidden" r:id="rId2"/>
    <sheet name="в т.ч.погашення" sheetId="3" state="hidden" r:id="rId3"/>
  </sheets>
  <definedNames>
    <definedName name="_xlnm._FilterDatabase" localSheetId="0" hidden="1">'додаток 7'!$A$10:$P$557</definedName>
    <definedName name="_xlnm.Print_Area" localSheetId="2">'в т.ч.погашення'!$A$1:$G$319</definedName>
    <definedName name="_xlnm.Print_Area" localSheetId="1">'власні надходж'!$A$1:$H$329</definedName>
    <definedName name="_xlnm.Print_Area" localSheetId="0">'додаток 7'!$A$1:$I$559</definedName>
  </definedNames>
  <calcPr fullCalcOnLoad="1"/>
</workbook>
</file>

<file path=xl/sharedStrings.xml><?xml version="1.0" encoding="utf-8"?>
<sst xmlns="http://schemas.openxmlformats.org/spreadsheetml/2006/main" count="4153" uniqueCount="1307">
  <si>
    <t xml:space="preserve">Програма "Фінансова підтримка комунального спортивно-видовищного підприємства "Юність", затверджена рішенням міської ради від          № </t>
  </si>
  <si>
    <t xml:space="preserve">Програма "Фізична культура та спорт", затверджена рішенням міської ради від                  № </t>
  </si>
  <si>
    <t xml:space="preserve">Міська програма "Оцінка вартості пам'яток історії та монументального мистецтва в місті Запоріжжя на 2014 рік"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</si>
  <si>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</si>
  <si>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створення та ведення містобудівного кадастру міста Запоріжжя, затверджена рішенням міської ради від                 №  </t>
  </si>
  <si>
    <t xml:space="preserve">Програма раціонального використання території та комплексного містобудівного розвитку міста , затверджена рішенням міської ради від     №   </t>
  </si>
  <si>
    <t xml:space="preserve">Міська програма "Розвиток культури і мистецтв у місті Запоріжжя на 2013-2015 роки", затверджена рішенням міської ради від         № </t>
  </si>
  <si>
    <t>Програма використання коштів депутатського фонду, затверджена рішенням міської ради від 30.01.2013 № 8 (зі змінами) - погашення заборгованості за минулий рік</t>
  </si>
  <si>
    <t xml:space="preserve">Міська програма "Поліпшення кінообслуговування населення міста Запоріжжя на 2013-2015 роки" затверджена рішенням міської ради від          №  </t>
  </si>
  <si>
    <t>"Програма надання медичної допомоги хворим на цукровий діабет" на період  2013-2015 років затверджена рішенням міської ради від 30.01.2013 № 21</t>
  </si>
  <si>
    <t xml:space="preserve">Міська цільова програма роботи і розвитку газети Запорізької міської ради "Запорозька Січ"(зі змінами), затверджена рішенням міської ради від     № </t>
  </si>
  <si>
    <t xml:space="preserve">Програма забезпечення проведення аукціонів з продажу права оренди та у власність земельних ділянок на території м.Запоріжжя, затверджена рішенням міської ради від     № </t>
  </si>
  <si>
    <t xml:space="preserve">обсяг власних надходжень,що включені до складу видатків </t>
  </si>
  <si>
    <t>-</t>
  </si>
  <si>
    <t>Програма зайнятості населення міста Запоріжжя на період до 2017 року, затверджена рішенням міської ради від 29.05.2013 №13 (зі змінами)</t>
  </si>
  <si>
    <t>Компенсаційні виплати на пільговий проїзд електротранспортом окремим категоріям громадян</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</si>
  <si>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№30 (зі змінами)</t>
  </si>
  <si>
    <t>Фінансова підтримка громадських організацій інвалідів та ветеранів</t>
  </si>
  <si>
    <t>Інші культурно-освітні заклади та заходи</t>
  </si>
  <si>
    <t>Лікарні</t>
  </si>
  <si>
    <t>Поліклініки і амбулаторії</t>
  </si>
  <si>
    <t>Загальні та спеціалізовані стоматологічні поліклініки</t>
  </si>
  <si>
    <t>Централізовані бухгалтерії</t>
  </si>
  <si>
    <t>091209</t>
  </si>
  <si>
    <t>250908</t>
  </si>
  <si>
    <t>Надання пільгового довгострокового кредиту громадянам на будівництво (реконструкцію) та придбання житла</t>
  </si>
  <si>
    <t>070401</t>
  </si>
  <si>
    <t>Позашкільні заклади освіти, заходи із позашкільної роботи з дітьми</t>
  </si>
  <si>
    <t>Соціальні програми і заходи державних органів у справах  молоді</t>
  </si>
  <si>
    <t>240601</t>
  </si>
  <si>
    <t>Кінематографія</t>
  </si>
  <si>
    <t>120100</t>
  </si>
  <si>
    <t>Телебачення та радіомовлення</t>
  </si>
  <si>
    <t>170102</t>
  </si>
  <si>
    <t>Код типової відомчої класифікації видатків</t>
  </si>
  <si>
    <t>Код тимчасової класифікації видатків та кредитування</t>
  </si>
  <si>
    <t>Назва головного розпорядника коштів, найменування коду тимчасової класифікації видатків та кредитування місцевих бюджетів</t>
  </si>
  <si>
    <t>Департамент фінансової та бюджетної політики Запорізької міської ради</t>
  </si>
  <si>
    <t>Виконавчий комітет міської ради</t>
  </si>
  <si>
    <t>150118</t>
  </si>
  <si>
    <t>Районна адміністрація Запорізької міської ради по Ленінському району</t>
  </si>
  <si>
    <t>160101</t>
  </si>
  <si>
    <t>Землеустрій</t>
  </si>
  <si>
    <t>Районна адміністрація Запорізької міської ради по Хортицькому району</t>
  </si>
  <si>
    <t>Районна адміністрація Запорізької міської ради по Орджонікідзевському району</t>
  </si>
  <si>
    <t>Районна адміністрація Запорізької міської ради по Жовтневому району</t>
  </si>
  <si>
    <t>Районна адміністрація Запорізької міської ради по Шевченківському району</t>
  </si>
  <si>
    <t>Районна адміністрація Запорізької міської ради по Заводському району</t>
  </si>
  <si>
    <t>Районна адміністрація Запорізької міської ради по Комунарському району</t>
  </si>
  <si>
    <t>Департамент освіти і науки, молоді та спорту Запорізької міської ради</t>
  </si>
  <si>
    <t>Управління з питань охорони здоров'я Запорізької міської ради</t>
  </si>
  <si>
    <t>Управління соціального захисту населення Запорізької міської ради</t>
  </si>
  <si>
    <t>Управління з питань попередження надзвичайних ситуацій та цивільного захисту населення Запорізької міської ради</t>
  </si>
  <si>
    <t>Департамент комунальної власності та приватизації Запорізької міської ради</t>
  </si>
  <si>
    <t>Управління культури і мистецтв Запорізької міської ради</t>
  </si>
  <si>
    <t>Департамент архітектури та містобудування Запорізької міської ради</t>
  </si>
  <si>
    <t>Управління з питань екологічної безпеки Запорізької міської ради</t>
  </si>
  <si>
    <t>Управління з питань транспортного забезпечення та зв'язку Запорізької міської ради</t>
  </si>
  <si>
    <t>Департамент економічного розвитку Запорізької міської ради</t>
  </si>
  <si>
    <t>Управління з питань земельних відносин Запорізької міської ради</t>
  </si>
  <si>
    <t>Загальний фонд</t>
  </si>
  <si>
    <t>Найменування програми</t>
  </si>
  <si>
    <t>Сума</t>
  </si>
  <si>
    <t>Спеціальний фонд</t>
  </si>
  <si>
    <t xml:space="preserve">Разом </t>
  </si>
  <si>
    <t>(грн.)</t>
  </si>
  <si>
    <t>Всього</t>
  </si>
  <si>
    <t>070101</t>
  </si>
  <si>
    <t>070201</t>
  </si>
  <si>
    <t>070202</t>
  </si>
  <si>
    <t>091108</t>
  </si>
  <si>
    <t>240900</t>
  </si>
  <si>
    <t>080101</t>
  </si>
  <si>
    <t>080300</t>
  </si>
  <si>
    <t>080500</t>
  </si>
  <si>
    <t>081004</t>
  </si>
  <si>
    <t>081009</t>
  </si>
  <si>
    <t>250404</t>
  </si>
  <si>
    <t>120201</t>
  </si>
  <si>
    <t>091101</t>
  </si>
  <si>
    <t>091102</t>
  </si>
  <si>
    <t>091103</t>
  </si>
  <si>
    <t>170603</t>
  </si>
  <si>
    <t>Інші заходи у сфері електротранспорту</t>
  </si>
  <si>
    <t>150101</t>
  </si>
  <si>
    <t>Капітальні вкладення</t>
  </si>
  <si>
    <t>090412</t>
  </si>
  <si>
    <t>170203</t>
  </si>
  <si>
    <t>210105</t>
  </si>
  <si>
    <t>Видатки на запобігання та ліквідацію надзвичайних ситуацій та наслідків стихійного лиха</t>
  </si>
  <si>
    <t>210110</t>
  </si>
  <si>
    <t xml:space="preserve">Заходи з організації рятування на водах </t>
  </si>
  <si>
    <t>Інші видатки</t>
  </si>
  <si>
    <t>Інші видатки на соціальний захист населення</t>
  </si>
  <si>
    <t>100203</t>
  </si>
  <si>
    <t>Благоустрій міст, сіл, селищ</t>
  </si>
  <si>
    <t>170703</t>
  </si>
  <si>
    <t>Видатки на проведення робіт, пов'язаних із будівництвом, реконструкцією, ремонтом і утриманням автомобільних доріг</t>
  </si>
  <si>
    <t>180409</t>
  </si>
  <si>
    <t>150121</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</si>
  <si>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</si>
  <si>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250344</t>
  </si>
  <si>
    <t>180404</t>
  </si>
  <si>
    <t>Заходи з оздоровлення та відпочинку дітей, крім заходів на оздоровлення дітей,що здійснюються за рахунок коштів на оздоровлення громадян, які постраждали внаслідок Чорнобильської катастрофи</t>
  </si>
  <si>
    <t>Періодичні видання (газети і журнали)</t>
  </si>
  <si>
    <t>Цільові фонди, утворені органами місцевого самоврядування</t>
  </si>
  <si>
    <t>Охорона та раціональне використання природних ресурсів</t>
  </si>
  <si>
    <t>Дошкільні заклади освіти</t>
  </si>
  <si>
    <t>Загальноосвітні школи (в т.ч.школа-дитячий садок, інтернат при школі), спеціалізовані школи, ліцеї, гімназії, колегіуми)</t>
  </si>
  <si>
    <t>Вечірні (змінні) школи</t>
  </si>
  <si>
    <t>130107</t>
  </si>
  <si>
    <t>080203</t>
  </si>
  <si>
    <t>081002</t>
  </si>
  <si>
    <t>Інші заходи по охороні здоров'я</t>
  </si>
  <si>
    <t>100102</t>
  </si>
  <si>
    <t>Капітальний ремонт житлового фонду місцевих органів влади</t>
  </si>
  <si>
    <t>Благоустрій сіл, селищ, міст</t>
  </si>
  <si>
    <t>170602</t>
  </si>
  <si>
    <t>Програма по похованню померлих безрідних та невідомих громадян міста на 2012-2014 роки</t>
  </si>
  <si>
    <t>Код програмної класифікації видатків та кредитування місцевого бюджету</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</si>
  <si>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</si>
  <si>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</si>
  <si>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місцевої (регіональної) програми</t>
  </si>
  <si>
    <t>Разом загальний та спеціальний фонди</t>
  </si>
  <si>
    <t>до рішення  міської ради</t>
  </si>
  <si>
    <t xml:space="preserve">Додаток 7                           </t>
  </si>
  <si>
    <t>070806</t>
  </si>
  <si>
    <t>Програма будівництва та реконструкції об'єктів міста Запоріжжя на 2012 рік</t>
  </si>
  <si>
    <t>Програма придбання житла для багатодітної родини на 2012 рік</t>
  </si>
  <si>
    <t>Програма посилення контролю за станом громадського порядку  на 2012 рік</t>
  </si>
  <si>
    <t>Надання медичної допомоги населенню в міських лікарнях на період  2012-2014 роки</t>
  </si>
  <si>
    <t>Надання первинної медико-санітарної допомоги населенню в самостійних поліклініках міста на період 2012-2014 роки</t>
  </si>
  <si>
    <t>Програма компенсації пільгових перевезень окремих категорій громадян автомобільним транспортом до садово-огородніх ділянок на 2012-2014 роки</t>
  </si>
  <si>
    <t>03</t>
  </si>
  <si>
    <t>90</t>
  </si>
  <si>
    <t>91</t>
  </si>
  <si>
    <t>92</t>
  </si>
  <si>
    <t>93</t>
  </si>
  <si>
    <t>94</t>
  </si>
  <si>
    <t>95</t>
  </si>
  <si>
    <t>96</t>
  </si>
  <si>
    <t>10</t>
  </si>
  <si>
    <t>14</t>
  </si>
  <si>
    <t>15</t>
  </si>
  <si>
    <t>67</t>
  </si>
  <si>
    <t>40</t>
  </si>
  <si>
    <t>45</t>
  </si>
  <si>
    <t>32</t>
  </si>
  <si>
    <t>24</t>
  </si>
  <si>
    <t>65</t>
  </si>
  <si>
    <t>48</t>
  </si>
  <si>
    <t>60</t>
  </si>
  <si>
    <t>75</t>
  </si>
  <si>
    <t>73</t>
  </si>
  <si>
    <t>56</t>
  </si>
  <si>
    <t>130110</t>
  </si>
  <si>
    <t>Фінансова підтримка спортивних споруд</t>
  </si>
  <si>
    <t>130102</t>
  </si>
  <si>
    <t>Проведення навчально-тренувальних зборів і змагань</t>
  </si>
  <si>
    <t>110102</t>
  </si>
  <si>
    <t>Театри</t>
  </si>
  <si>
    <t>110201</t>
  </si>
  <si>
    <t>Бібліотеки</t>
  </si>
  <si>
    <t>091204</t>
  </si>
  <si>
    <t>Територіальні центри соціального обслуговування (надання соціальних послуг)</t>
  </si>
  <si>
    <t>010116</t>
  </si>
  <si>
    <t>Органи місцевого самоврядування</t>
  </si>
  <si>
    <t>110205</t>
  </si>
  <si>
    <t>Школи естетичного виховання дітей</t>
  </si>
  <si>
    <t>110204</t>
  </si>
  <si>
    <t>Палаци і будинки культури, клуби та інші заклади клубного типу</t>
  </si>
  <si>
    <t>Здійснення ефективної реалізації районною адміністрацією Запорізької міської ради по Ленінському району виконання власних та делегованих повноважень у 2012-2014 роках</t>
  </si>
  <si>
    <t>Здійснення ефективної реалізації районною адміністрацією Запорізької міської ради по Шевченківському району виконання власних та делегованих повноважень у 2012-2014 роках</t>
  </si>
  <si>
    <t>Управління розвитку підприємництва та дозвільних послуг Запорізької міської ради</t>
  </si>
  <si>
    <t>Керівництво і управління в галузі охорони здоров"я міста Запоріжжя на період 2012-2014 роки</t>
  </si>
  <si>
    <t>Ефективне управління у галузі техногенно-екологічної безпеки, цивільного захисту та надзвичайних ситуацій у 2012-2014 роках</t>
  </si>
  <si>
    <t>20</t>
  </si>
  <si>
    <t>Здійснення повноважень органів місцевого самоврядування у справах дітей на 2012-2014 роки</t>
  </si>
  <si>
    <t>Здійснення повноважень органів місцевого самоврядування в частині постійного самоврядного контролю у сфері благоустрою міста Запоріжжя на 2012-2014 роки</t>
  </si>
  <si>
    <t>Керівництво і управління в галузі культури та мистецтв м.Запоріжжя на 2012-2014 роки</t>
  </si>
  <si>
    <t>Служба (управління) у справах дітей Запорізької міської ради</t>
  </si>
  <si>
    <t>Керівництво і управління в галузі охорони навколишнього середовища на 2012-2014 роки</t>
  </si>
  <si>
    <t>33</t>
  </si>
  <si>
    <t>Управління реєстрації та єдиного реєстру Запорізької міської ради</t>
  </si>
  <si>
    <t>Забезпечення ефективного управління пасажирським транспортом загального користування та створення сприятливих умов для фкнкціонування транспортної інфраструктури у місті Запоріжжі на 2012-2014 роки</t>
  </si>
  <si>
    <t>Забезпечення керівництва та управління в галузі бюджету та фінансів на 2012-2014 роки</t>
  </si>
  <si>
    <t>Інспекція з благоустрою Запорізької міської ради</t>
  </si>
  <si>
    <t>23</t>
  </si>
  <si>
    <t>Управління з питань правового забезпечення роботи галузей міського господарства Запорізької міської ради</t>
  </si>
  <si>
    <t>Керівництво і управління у сфері правового забезпечення роботи галузей міського господарства Запорізької міської ради на період 2012-2014 роки</t>
  </si>
  <si>
    <t>Програма "Здійснення ефективного управління в галузі освіти і науки, молоді та спорту на 2012-2014 роки"</t>
  </si>
  <si>
    <t>Утримання та навчально-тренувальна робота дитячо-юнацьких спортивних шкіл</t>
  </si>
  <si>
    <t>Видатки на проведення виборів народних депутатів Автономної Республіки Крим, місцевих рад, сільських, селищних, міських голів</t>
  </si>
  <si>
    <t>76</t>
  </si>
  <si>
    <t>Обслуговування  боргу</t>
  </si>
  <si>
    <t>Субвенція з місцевого бюджету до державного бюджету на виконання програм соціально-економічного  та культурного розвитку регіонів</t>
  </si>
  <si>
    <t>Програма підтримки громадських ініціатив в м.Запоріжжі на 2012 рік</t>
  </si>
  <si>
    <t xml:space="preserve">                                     Додаток 8</t>
  </si>
  <si>
    <t xml:space="preserve">                                     до рішення міської ради</t>
  </si>
  <si>
    <t xml:space="preserve">Програма будівництва  об'єкту благоустрою (мобільної туалетної кабіни) в парку Металургів м.Запоріжжя на 2012 рік  </t>
  </si>
  <si>
    <t>Секретар міської ради</t>
  </si>
  <si>
    <t>Р.О.Таран</t>
  </si>
  <si>
    <t>Програма благоустрою міста та фінансування комунальних підприємств на поповнення обігових коштів, статутних капіталів і придбання обладнання та матеріалів на 2012-2014 роки</t>
  </si>
  <si>
    <t>Програма забезпечення громадської безпеки і профілактики злочинності у м.Запоріжжі, розвитку матеріально-технічної бази підрозділу ВВ МВС України військової частини 3033 на 2012 рік</t>
  </si>
  <si>
    <t>Житлове будівництво та придбання житла для окремих категорій населення</t>
  </si>
  <si>
    <r>
      <t xml:space="preserve">Програма розвитку земельних відносин у місті Запоріжжя на 2014 рік, затверджена рішенням </t>
    </r>
    <r>
      <rPr>
        <sz val="11"/>
        <rFont val="Times New Roman"/>
        <family val="1"/>
      </rPr>
      <t>міської ради від 26.03.2014 № 7</t>
    </r>
  </si>
  <si>
    <t>180410</t>
  </si>
  <si>
    <t>Інші заходи, пов'язані з економічною діяльністю</t>
  </si>
  <si>
    <t>Програма створення та ведення містобудівного кадастру міста Запоріжжя, затверджена рішенням міської ради від 31.01.2014 №20 (зі змінами)</t>
  </si>
  <si>
    <t>Програма "Фінансування заходів із придбання житла для окремих категорій населення у 2012 році"</t>
  </si>
  <si>
    <t>інші видатки</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</si>
  <si>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</si>
  <si>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</si>
  <si>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Фінансування енергозберігаючих заходів</t>
  </si>
  <si>
    <t>171000</t>
  </si>
  <si>
    <t>Діяльність і послуги, не віднесені до інших категорій</t>
  </si>
  <si>
    <t>100101</t>
  </si>
  <si>
    <t>Житлово-експлуатаційне господарство</t>
  </si>
  <si>
    <t>Підтримка малого і середнього підприємництва</t>
  </si>
  <si>
    <t xml:space="preserve">Видатки на запобігання та ліквідацію надзвичайних ситуацій та наслідків стихійного лиха </t>
  </si>
  <si>
    <t>Компенсацйні виплати на пільговий проїзд електротранспортом окремим категоріям громадян</t>
  </si>
  <si>
    <t>Цільові фонди, утворені Верховною Радою Автономної Республіки Крим, органами місцевого самоврядування і місцевими органами виконавчої влади</t>
  </si>
  <si>
    <t>Управління комунального господарства та дорожнього будівництва Запорізької міської ради</t>
  </si>
  <si>
    <t>41</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</si>
  <si>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</si>
  <si>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Департамент житлово-комунального господарства Запорізької міської ради</t>
  </si>
  <si>
    <t xml:space="preserve">Програма розвитку та утримання житлово-комунального господарства м.Запоріжжя на 2013-2015 роки </t>
  </si>
  <si>
    <t>Програма "Освіта"</t>
  </si>
  <si>
    <t>Міська комплексна програма соціального захисту населення міста Запоріжжя</t>
  </si>
  <si>
    <t>Перинатальні центри, пологові будинки</t>
  </si>
  <si>
    <t>Забезпечення централізованих заходів з лікування хворих на цукровий та нецукровий діабет</t>
  </si>
  <si>
    <t>Програма розвитку та утримання житлово-комунального господарства м.Запоріжжя на 2013-2015 роки ( в тому числі погашення заборгованості минулого року)</t>
  </si>
  <si>
    <t xml:space="preserve">Компенсаційні виплати на пільговий проїзд автомобільним транспортом окремим категоріям громадян </t>
  </si>
  <si>
    <t>Компенсаційні виплати на пільговий проїзд окремих категорій громадян на водному транспорті</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</si>
  <si>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</si>
  <si>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</si>
  <si>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</si>
  <si>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130112</t>
  </si>
  <si>
    <t>130106</t>
  </si>
  <si>
    <t>Проведення навчально-тренувальних зборів і змагань з неолімпійських видів спорту</t>
  </si>
  <si>
    <t>Програма підтримки сім'ї та молоді м. Запоріжжя, затверджена рішенням міської ради від 25.02.2013 № 25</t>
  </si>
  <si>
    <t>Програма "Фізична культура та спорт", затверджена рішенням міської ради від 25.02.2013 № 25</t>
  </si>
  <si>
    <t>"Програма надання медичної допомоги окремим верствам населення" на період  2013-2015 роківзатверджена рішенням міської ради від 30.01.2013 № 21</t>
  </si>
  <si>
    <t>"Програма надання медичної допомоги хворим на цукровий діабет" на період  2013-2015 роківзатверджена рішенням міської ради від 30.01.2013 № 21</t>
  </si>
  <si>
    <t xml:space="preserve">Міська комплексна програма соціального захисту населення міста Запоріжжя затверджена рішенням міської ради від 30.01.2013 № 24 </t>
  </si>
  <si>
    <t xml:space="preserve">Міська комплексна програма соціального захисту населення міста Запоріжжязатверджена рішенням міської ради від 30.01.2013 № 24 </t>
  </si>
  <si>
    <t>Міська програма "Розвиток культури і мистецтв у місті Запоріжжя на 2013-2015 роки", затверджена рішенням міської ради від 30.01.2013 № 40</t>
  </si>
  <si>
    <t>Міська програма "Розвиток культури і мистецтв у місті Запоріжжя на 2013-2015 роки" затверджена рішенням міської ради від 30.01.2013 № 40</t>
  </si>
  <si>
    <t>Міська програма "Поліпшення кінообслуговування населення міста Запоріжжя на 2013-2015 роки" затверджена рішенням міської ради від 30.01.2013 № 40</t>
  </si>
  <si>
    <t>Міська програма "Оцінка вартості пам'яток історії та монументального мистецтва в місті Запоріжжя на 2013 рік"  затверджена рішенням міської ради від 30.01.2013 № 40</t>
  </si>
  <si>
    <t>Програма проведення в м.Запоріжжі Покровського ярмарку, затверджена рішенням міської ради від 24.12.2012 № 35</t>
  </si>
  <si>
    <t>Програма економічного і соціального розвитку м.Запоріжжя на 2013 рік, затверджена рішенням міської ради від 24.12.2012 № 8</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</si>
  <si>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t>
  </si>
  <si>
    <t>Програма підтримки діяльності органів самоорганізації населення міста Запоріжжя, затверджена рішенням міської ради від 30.01.2013 № 26</t>
  </si>
  <si>
    <t>Міська цільова програма забезпечення погашення заборгованості при реалізації Програми придбання житла для воїнів-інтернаціоналістів у 2012 році, затверджена рішенням міської ради від 30.01.2013 № 13</t>
  </si>
  <si>
    <t>Програма "Фінансова підтримка комунального спортивно-видовищного підприємства "Юність", затверджена рішенням міської ради від 30.01.2013 № 25</t>
  </si>
  <si>
    <t>Міська цільова Програма "Фінансова допомога комунальному підприємству "Управління капітального будівництва" у 2013 році", затверджена рішенням міської ради від 30.01.2013 № 6</t>
  </si>
  <si>
    <t>Міська цільова Програма "Фінансування заходів з дератизації відкритих стацій та дезінсекції анофелогенних водоймищ м.Запоріжжя на 2013 рік", затверджена рішенням міської ради від 30.01.2013 № 41</t>
  </si>
  <si>
    <t>Програма "Здійснення заходів щодо проведення незалежної оцінки об'єктів м.Запоріжжя на 2012 рік" (погашення заборгованості минулого року), затверджена рішенням міської ради від 23.02.2013 № 52</t>
  </si>
  <si>
    <t>Програма сприяння діяльності ветеранів спорту у здійсненні фізкультурно-спортивних заходів на 2013 рік, затверджена рішенням міської ради від 25.02.2013 № 51</t>
  </si>
  <si>
    <t>100106</t>
  </si>
  <si>
    <t>Капітальний ремонт житлового фонду об'єднань співвласників багатоквартирних будинків</t>
  </si>
  <si>
    <t>Програма сприяння органів місцевого самоврядування призову громадян у 2013 році, затверджена рішенням міської ради від 23.02.2012 № 19 (зі змінами)</t>
  </si>
  <si>
    <t>Програма "Позашкільна освіта", затверджена рішенням міської ради від 25.02.2013 № 25 (зі змінами)</t>
  </si>
  <si>
    <t>Програма використання коштів депутатського фонду, затверджена рішенням міської ради від 30.01.2013 № 8 (зі змінами)</t>
  </si>
  <si>
    <t>РАЗОМ</t>
  </si>
  <si>
    <t>власні надходження бюджетних установ</t>
  </si>
  <si>
    <t>Програма економічного і соціального розвитку м.Запоріжжя на 2013 рік, затверджена рішенням міської ради від 24.12.2012 № 8 (зі змінами)</t>
  </si>
  <si>
    <t>Міська цільова програма впровадження та забезпечення працездатності систем об'єктивного відеоспостередження у м.Запоріжжі, затверджена рішенням міської ради від 24.12.2012 №15 (зі змінами)</t>
  </si>
  <si>
    <t>Програма реконструкція об'єктів соціальної сфери міста Запоріжжя на 2012-2014 роки, затверджена рішенням міської ради від 24.12.2012 № 43 (зі змінами)</t>
  </si>
  <si>
    <t>Програма розвитку та утримання житлово-комунального господарства м.Запоріжжя на 2013-2015 роки, затверджена рішенням міської ради від 30.01.2013 № 17 (зі змінами)</t>
  </si>
  <si>
    <t>Міська цільова програма запобігання та ліквідації надзвичайних ситуацій техногенного та природного характеру, організація рятування на водах на 2013-2015 роки, затверджена рішенням міської ради від 30.01.2013 № 16 (зі змінами)</t>
  </si>
  <si>
    <t>Міська цільова Програма "Будівництво, реконструкція та ліквідація аварійного стану об'єктів міста Запоріжжя на 2013-2015 роки", затверджена рішенням міської ради від 30.01.2013 № 6 (зі змінами)</t>
  </si>
  <si>
    <t>Програма "Організація та проведення заходів щодо відзначення загальнодержавних, міських та районних свят на 2013 рік", затверджена рішенням міської ради від 27.03.2013   № 8</t>
  </si>
  <si>
    <t>Програма "Освіта", затверджена рішенням міської ради від 25.02.2013 № 25 (зі змінами)</t>
  </si>
  <si>
    <t>Методична робота, інші заходи у сфері народної освіти</t>
  </si>
  <si>
    <t>070802</t>
  </si>
  <si>
    <t>070805</t>
  </si>
  <si>
    <t>Групи централізованого господарського обслуговування</t>
  </si>
  <si>
    <t>Програма "Оздоровлення та відпочинок", затверджена рішенням міської ради від 25.02.2013 № 25 (зі змінами)</t>
  </si>
  <si>
    <t>Програма  використання коштів цільового фонду міської ради на 2013 рік, затверджена рішенням міської ради від 24.12.2012 № 12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</si>
  <si>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</si>
  <si>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 13</t>
  </si>
  <si>
    <t>070804</t>
  </si>
  <si>
    <t>Централізовані бухгалтерії обласних, міських, районних відділів освіти</t>
  </si>
  <si>
    <t>080800</t>
  </si>
  <si>
    <t>Центри первинної медичної (медико-санітарної) допомоги</t>
  </si>
  <si>
    <t>100209</t>
  </si>
  <si>
    <r>
      <t>Заходи, пов</t>
    </r>
    <r>
      <rPr>
        <sz val="12"/>
        <rFont val="Arial"/>
        <family val="2"/>
      </rPr>
      <t>'</t>
    </r>
    <r>
      <rPr>
        <sz val="12"/>
        <rFont val="Times New Roman"/>
        <family val="1"/>
      </rPr>
      <t>язані з поліпшенням питної води</t>
    </r>
  </si>
  <si>
    <t>Інші субвенції</t>
  </si>
  <si>
    <t xml:space="preserve">Програма "Про забезпечення екологічної безпеки міста на 2013-2015 роки", затверджена рішенням міської ради від 24.12.2012 № 23 (зі змінами) </t>
  </si>
  <si>
    <t>Програма забезпечення проведення аукціонів з продажу права оренди та у власність земельних ділянок на території м.Запоріжжя на 2013-2015 роки, затверджена рішенням міської ради від 24.12.2012 № 84</t>
  </si>
  <si>
    <t>"Програма розвитку охорони здоров'я міста Запоріжжя" на період 2013-2015 роки, затверджена рішенням міської ради від 30.01.2013 № 21 (зі змінами)</t>
  </si>
  <si>
    <t>Програма "Розвитку ендопротезування великих суглобів в місті Запоріжжі на 2013-2017 роки"затверджена рішенням міської ради від 24.12.2012 № 54</t>
  </si>
  <si>
    <t>26</t>
  </si>
  <si>
    <t>Відділ охорони культурної спадщини Запорізької міської ради</t>
  </si>
  <si>
    <t>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25.02.2013 № 32 (зі змінами)</t>
  </si>
  <si>
    <t>Програма "Інвентаризація та державна реєстрація об'єктів права комунальної власності територіальної громади м. Запоріжжя на 2013 рік", затверджена рішенням міської ради від 24.04.2013 №13</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</si>
  <si>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25.02.2013 №14</t>
  </si>
  <si>
    <t>Міська програма "Загальноміські святкові заходи та акції на 2013 рік" затверджена рішенням міської ради від 30.01.2013 №40</t>
  </si>
  <si>
    <t>Програма економічного і соціального розвитку м.Запоріжжя на 2013 рік, затверджена рішенням міської ради від 24.12.2012 №8 (зі змінами)</t>
  </si>
  <si>
    <t>Програма розвитку земельних відносин у місті Запоріжжя на 2013 рік, затверджена рішенням міської ради від 25.02.2013 №26</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</si>
  <si>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</si>
  <si>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</si>
  <si>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t>
  </si>
  <si>
    <t>Програма зайнятості населення міста Запоріжжя на період до 2017 року, затверджена рішенням міської ради від 29.05.2013 № 13</t>
  </si>
  <si>
    <t>Міська цільова програма "Про підвищення безпеки дорожнього руху на автомобільних шляхах міста Запоріжжя", затверджена рішенням міської ради від 20.08.2013 №16 (зі змінами)</t>
  </si>
  <si>
    <t xml:space="preserve">                                     ___________ № _________</t>
  </si>
  <si>
    <t>Програма "Фінансова підтримка КНВП "Екоцентр" на погашення податкового боргу на 2013 рік", затверджена рішенням міської ради від 27.03.2013 № 34</t>
  </si>
  <si>
    <t>Програма створення та ведення містобудівного кадастру міста Запоріжжя на 2013-2015 роки, затверджена рішенням міської ради від 25.02.2013 № 28 (зі змінами)</t>
  </si>
  <si>
    <t>Програма раціонального використання території та комплексного містобудівного розвитку міста на 2013-2015 роки, затверджена рішенням міської ради від 25.02.2013 № 27 (зі змінами)</t>
  </si>
  <si>
    <t>Програма обслуговування боргу бюджету міста та підтримки муніципального кредитного рейтингу, затверджена рішенням міської ради від 25.02.2013 № 11 (зі змінами)</t>
  </si>
  <si>
    <t>Міська цільова програма надання фінансової підтримки комунальному підприємству "Центр управління інформаційними техннологіями на 2013 рік", затверджена рішенням міської ради від 29.11.2013 № 45</t>
  </si>
  <si>
    <t>Програма економічного і соціального розвитку м.Запоріжжя на 2014 рік (в тому числі погашення заборгованості минулого року)</t>
  </si>
  <si>
    <t>Міська цільова програма впровадження та забезпечення працездатності систем об'єктивного відеоспостередження у м.Запоріжжі (в тому числі погашення заборгованості минулого року)</t>
  </si>
  <si>
    <t>Програма використання коштів депутатського фонду ( в тому числі погашення заборгованості минулого року)</t>
  </si>
  <si>
    <t>Міська цільова програма роботи й розвитку газети Запорізької міської ради "Запорозька Січ" (в тому числі погашення заборгованості минулого року)</t>
  </si>
  <si>
    <t>Програма  використання коштів цільового фонду міської ради на 2014 рік (в тому числі погашення кредиторської заборгованості минулого року)</t>
  </si>
  <si>
    <t>Міська цільова програма надання автотранспортних та господарських послуг структурним підрозділам та виконавчому комітету міської ради ( в тому числі погашення кредиторської заборгованості)</t>
  </si>
  <si>
    <t>Програма "Освіта" (в тому числі погашення кредиторської заборгованості)</t>
  </si>
  <si>
    <t>Програма "Позашкільна освіта" (в тому числі погашення кредиторської заборгованості)</t>
  </si>
  <si>
    <t>Програма "Фізична культура та спорт" (в тому числі погашення заборгованості минулого року)</t>
  </si>
  <si>
    <t>Програма підтримки сім'ї та молоді м. Запоріжжя ( в тому числі погашення кредиторської заборгованості)</t>
  </si>
  <si>
    <t>Програма "Фізична культура та спорт"(в тому сичлі погашення кредиторської заборгованості)</t>
  </si>
  <si>
    <t>Програма "Про забезпечення екологічної безпеки міста на 2013-2015 роки" ( в тому числі погашення заборгованості минулого року)</t>
  </si>
  <si>
    <t>"Програма розвитку охорони здоров'я міста Запоріжжя" на період 2013-2015 років (в тому числі погашення заборгованості минулого року)</t>
  </si>
  <si>
    <t>Міська комплексна програма соціального захисту населення міста Запоріжжя (в тому числі погашення заборгованості минулого року)</t>
  </si>
  <si>
    <t>Програма "Здійснення соціальної роботи з дітьми, молоддю та сім'ями м. Запоріжжя, які опинились у складних життєвих обставинах та потребують сторонньої допомоги"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</si>
  <si>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</si>
  <si>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Міська програма "Розвиток культури і мистецтв у місті Запоріжжя на 2013-2015 роки"  (в тому числі погашення заборгованості минулого року)</t>
  </si>
  <si>
    <t>Програма реконструкції ринку Соцміста КП "Запоріжринок" по вул.Рекордна, 2  у м.Запоріжжя на 2014 рік (в тому числі погашення забргованості минулого року)</t>
  </si>
  <si>
    <t xml:space="preserve"> Програма сприяння розвитку малого та середнього підприємництва у місті Запоріжжі на 2013-2015 роки ( в тому числі погашення заборгованості минулого року)</t>
  </si>
  <si>
    <t>Міська цільова програма житлового будівництва та придбання житла для окремих категорій населення на 2013-2015 роки ( в тому числі погашення заборгованості минулого року)</t>
  </si>
  <si>
    <t>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2013-2015 року ( в тому числі погашення заборгованості минулого року)</t>
  </si>
  <si>
    <t>Міська цільова програма підвищення ефективності та посилення контролю за станом громадського порядку (в тому числі погашення заборгованості минулого року)</t>
  </si>
  <si>
    <t>Перелік місцевих програм, які фінансуватимуться за рахунок коштів бюджету міста у 2014 році</t>
  </si>
  <si>
    <t xml:space="preserve">Програма "Організація та проведення заходів щодо відзначення загальнодержавних, міських та районних свят ", затверджена рішенням міської ради від     № </t>
  </si>
  <si>
    <t xml:space="preserve">Програма підтримки діяльності органів самоорганізації населення міста Запоріжжя, затверджена рішенням міської ради від       № </t>
  </si>
  <si>
    <t>Програма сприяння органів місцевого самоврядування призову громадян у 2013 році, затверджена рішенням міської ради від 23.02.2012 № 19 зі змінами (у тому числі погашення заборгованості за минулий рік)</t>
  </si>
  <si>
    <t>Програма проведення в м.Запоріжжі Покровського ярмарку, затверджена рішенням міської ради від 24.12.2012 № 35 зі змінами ( у тому числі погашення заборгованості за минулий рік)</t>
  </si>
  <si>
    <t>Програма зайнятості населення міста Запоріжжя на період до 2017 року, затверджена рішенням міської ради від 29.05.2013 № 13 (зі змінами)</t>
  </si>
  <si>
    <t>комітети</t>
  </si>
  <si>
    <t>призов</t>
  </si>
  <si>
    <t>свята</t>
  </si>
  <si>
    <t>дератизація</t>
  </si>
  <si>
    <t>інвентариз</t>
  </si>
  <si>
    <t>охорона</t>
  </si>
  <si>
    <t xml:space="preserve">Програма підтримки муніципального кредитного рейтингу, затверджена рішенням міської ради від   № </t>
  </si>
  <si>
    <t xml:space="preserve">Програма "Про забезпечення екологічної безпеки міста на 2014-2016 роки", затверджена рішенням міської ради від     № </t>
  </si>
  <si>
    <t>ярмарка</t>
  </si>
  <si>
    <t>зайнятість</t>
  </si>
  <si>
    <t xml:space="preserve">спец не считает </t>
  </si>
  <si>
    <t xml:space="preserve">рейтинг </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</si>
  <si>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  </t>
  </si>
  <si>
    <t>автогосп</t>
  </si>
  <si>
    <t xml:space="preserve">Програма  використання коштів цільового фонду міської ради на 2014 рік, затверджена рішенням міської ради від  № </t>
  </si>
  <si>
    <t xml:space="preserve">Програма  використання коштів цільового фонду міської ради на 2014 рік, затверджена рішенням міської ради від № </t>
  </si>
  <si>
    <t>газета СІЧ</t>
  </si>
  <si>
    <t>Міська цільова програма впровадження та забезпечення працездатності систем об'єктивного відео спостереження у м.Запоріжжі, затверджена рішенням міської ради від     №</t>
  </si>
  <si>
    <t>Міська цільова програма забезпечення участі Запорізької міської ради  в Асоціації міст України, Всеукраїнській громадській організації "Асоціація фінансистів України" та Асоціації "Международная Ассамблея столиц и крупных городов", затверджена рішенням міської ради від       №</t>
  </si>
  <si>
    <t>асоціація городов</t>
  </si>
  <si>
    <t>відео спостереж</t>
  </si>
  <si>
    <t>телеканал МТМ</t>
  </si>
  <si>
    <t>сприяння підприємництво</t>
  </si>
  <si>
    <t>целевой фонд</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</si>
  <si>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</si>
  <si>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 xml:space="preserve">Програма "Інвентаризація та державна реєстрація об'єктів права комунальної власності територіальної громади м. Запоріжжя на 2014 рік", затверджена рішенням міської ради від             № </t>
  </si>
  <si>
    <t>070803</t>
  </si>
  <si>
    <t>раціон використ</t>
  </si>
  <si>
    <t>аукціони</t>
  </si>
  <si>
    <t>кадастр</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</si>
  <si>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 </t>
  </si>
  <si>
    <t>розв і утриман ЖКХ</t>
  </si>
  <si>
    <t>освіта</t>
  </si>
  <si>
    <t>оздор та відпочинок</t>
  </si>
  <si>
    <t>позашкільна</t>
  </si>
  <si>
    <t>фізкультура</t>
  </si>
  <si>
    <t>підтримка сімї та молоді</t>
  </si>
  <si>
    <t>розв ОХОРОНИ ЗДОРОВЯ</t>
  </si>
  <si>
    <t>розв КУЛЬТУРИ і Мистецтв</t>
  </si>
  <si>
    <t>кінообслуговування</t>
  </si>
  <si>
    <t>святкові заходи та акції</t>
  </si>
  <si>
    <t>МКП  соцзахисту</t>
  </si>
  <si>
    <t>реконструк обєктів соц сфери</t>
  </si>
  <si>
    <t>ЗапоріжЕлектроТранс</t>
  </si>
  <si>
    <t>АЕРОПОРТ</t>
  </si>
  <si>
    <t>безпека дорож руху на шляхах</t>
  </si>
  <si>
    <t>ЕКОбезпека</t>
  </si>
  <si>
    <t xml:space="preserve">Міська цільова програма "Забезпечення належної, стабільної роботи і розвитку комунального підприємства "Муніципальна телевізійна мережа" (Телеканал "МТМ")", затверджена рішенням міської ради від      № </t>
  </si>
  <si>
    <t>Міська цільова програма впровадження та забезпечення працездатності систем об'єктивного відеоспостереження у м.Запоріжжі, затверджена рішенням міської ради від     №</t>
  </si>
  <si>
    <t>150202</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</si>
  <si>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</si>
  <si>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</si>
  <si>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Програма реконструкції ринку Соцміста КП "Запоріжринок" по вул.Рекордній, 2  у м.Запоріжжя на 2014 рік, затверджена рішенням міської ради від      №</t>
  </si>
  <si>
    <t>Міська цільова програма підвищення ефективності та посилення контролю за станом громадського порядку, затверджена рішенням міської ради від 24.04.2013 №38 (у тому числі погашення заборгованості минулого року)</t>
  </si>
  <si>
    <t>Розробка схем та проектних рішень масового застосування</t>
  </si>
  <si>
    <t>Програма економічного і соціального розвитку м.Запоріжжя на 2014 рік, затверджена рішенням міської ради від      №</t>
  </si>
  <si>
    <t xml:space="preserve">"Програма розвитку охорони здоров'я міста Запоріжжя" на період 2014-2016 роки, затверджена рішенням міської ради від     № </t>
  </si>
  <si>
    <t>081003</t>
  </si>
  <si>
    <t>Служби технічного нагляду за будівництвом та капітальним ремонтом, централізовані бухгалтерії,</t>
  </si>
  <si>
    <t xml:space="preserve">Програма розвитку та утримання житлово-комунального господарства м.Запоріжжя на 2014-2016 роки, затверджена рішенням міської ради від     № </t>
  </si>
  <si>
    <t>100103</t>
  </si>
  <si>
    <t>Фінансова підтримка обєктів житлово-комунального господарства</t>
  </si>
  <si>
    <t xml:space="preserve">Міська програма надання цільової фінансової підтримки громадянам на первинний внесок для отримання іпотечних житлових кредитів на будівництво чи придбання доступного житла на території м.Запоріжжі на 2014-2016 рік затвердженого рішенням міської ради від     №  </t>
  </si>
  <si>
    <t xml:space="preserve">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  </t>
  </si>
  <si>
    <t xml:space="preserve">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  </t>
  </si>
  <si>
    <t xml:space="preserve">Міська цільова програма запобігання та ліквідації надзвичайних ситуацій техногенного та природного характеру, організація рятування на водах на 2014-2016 роки, затверджена рішенням міської ради від      № </t>
  </si>
  <si>
    <t xml:space="preserve">Міська цільова Програма "Будівництво, реконструкція та ліквідація аварійного стану об'єктів міста Запоріжжя на 2014-2016 роки", затверджена рішенням міської ради від      № </t>
  </si>
  <si>
    <t>Цільова комплексна програма забезпечення молоді міста Запоріжжя житлом, затверджена рішенням міської ради від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</si>
  <si>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</si>
  <si>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</si>
  <si>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</si>
  <si>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Програма "Освіта", затверджена рішенням міської ради від       № </t>
  </si>
  <si>
    <t xml:space="preserve">Програма "Позашкільна освіта", затверджена рішенням міської ради від          № </t>
  </si>
  <si>
    <t xml:space="preserve">Програма "Фізична культура та спорт",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</si>
  <si>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</si>
  <si>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</si>
  <si>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 xml:space="preserve">Міська комплексна програма соціального захисту населення міста Запоріжжя, затверджена рішенням міської ради від            № </t>
  </si>
  <si>
    <t>Міська програма "Загальноміські святкові заходи та акції на 2014 рік" затверджена рішенням міської ради від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</si>
  <si>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</si>
  <si>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</si>
  <si>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</si>
  <si>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</si>
  <si>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</si>
  <si>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</si>
  <si>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Міська цільова програма житлового будівництва та придбання житла для окремих категорій населення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</si>
  <si>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</si>
  <si>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розвитку та утримання житлово-комунального господарства м.Запоріжжя на 2014-2016 роки, затверджена рішенням міської ради від       № </t>
  </si>
  <si>
    <t xml:space="preserve">Програма "Освіта", затверджена рішенням міської ради від          №   </t>
  </si>
  <si>
    <t xml:space="preserve">Програма "Оздоровлення та відпочинок", затверджена рішенням міської ради від           №  </t>
  </si>
  <si>
    <t>Програма "Позашкільна освіта", затверджена рішенням міської ради від            №</t>
  </si>
  <si>
    <t xml:space="preserve">Програма "Оздоровлення та відпочинок", затверджена рішенням міської ради від             №  </t>
  </si>
  <si>
    <t>Програма "Фізична культура та спорт", затверджена рішенням міської ради від               №</t>
  </si>
  <si>
    <t xml:space="preserve">Програма підтримки сім'ї та молоді м. Запоріжжя, затверджена рішенням міської ради від              № </t>
  </si>
  <si>
    <t>Разом</t>
  </si>
  <si>
    <t>Програма використання коштів депутатського фонду у 2015 році, затверджена рішенням міської ради від  15.01.2015 № 5</t>
  </si>
  <si>
    <t>0111</t>
  </si>
  <si>
    <t>0830</t>
  </si>
  <si>
    <t>0490</t>
  </si>
  <si>
    <t>0133</t>
  </si>
  <si>
    <t>0910</t>
  </si>
  <si>
    <t>0921</t>
  </si>
  <si>
    <t>0960</t>
  </si>
  <si>
    <t>0990</t>
  </si>
  <si>
    <t>1040</t>
  </si>
  <si>
    <t>0810</t>
  </si>
  <si>
    <t>0411</t>
  </si>
  <si>
    <t>0511</t>
  </si>
  <si>
    <t>1060</t>
  </si>
  <si>
    <t>0731</t>
  </si>
  <si>
    <t>0733</t>
  </si>
  <si>
    <t>0721</t>
  </si>
  <si>
    <t>0722</t>
  </si>
  <si>
    <t>0726</t>
  </si>
  <si>
    <t>0763</t>
  </si>
  <si>
    <t>1020</t>
  </si>
  <si>
    <t>1030</t>
  </si>
  <si>
    <t>1090</t>
  </si>
  <si>
    <t>1070</t>
  </si>
  <si>
    <t>0821</t>
  </si>
  <si>
    <t>0824</t>
  </si>
  <si>
    <t>0828</t>
  </si>
  <si>
    <t>0829</t>
  </si>
  <si>
    <t>0823</t>
  </si>
  <si>
    <t>0610</t>
  </si>
  <si>
    <t>0620</t>
  </si>
  <si>
    <t>0456</t>
  </si>
  <si>
    <t>0443</t>
  </si>
  <si>
    <t>0455</t>
  </si>
  <si>
    <t>0460</t>
  </si>
  <si>
    <t>0320</t>
  </si>
  <si>
    <t>0180</t>
  </si>
  <si>
    <t>150110</t>
  </si>
  <si>
    <t>Міська цільова програма "Створення статутного капіталу комунального підприємства "Запорізьке енергетичне агентство" Запорізької міської ради", затверджена рішенням міської ради від 26.08.2015 № 6</t>
  </si>
  <si>
    <t>Міська цільова програма "Забезпечення належної та безперебійної роботи комунального підприємства "Преса", затверджена рішенням міської ради від 07.10.2015 № 22</t>
  </si>
  <si>
    <t>Програма заміни технологічного обладнання в харчоблоках та пральнях загальноосвітніх та дошкільних навчальних закладів міста Запоріжжя на 2016-2020 роки, затверджена рішенням міської ради від 07.10.2015 № 16 (зі змінами та доповненнями)</t>
  </si>
  <si>
    <t>150112</t>
  </si>
  <si>
    <t>Проведення невідкладних відновлювальних робіт, будівництво та реконструкція позашкільних навчальних закладів</t>
  </si>
  <si>
    <t>Р.О.Пидорич</t>
  </si>
  <si>
    <t>10116 с.ф.</t>
  </si>
  <si>
    <t>090203</t>
  </si>
  <si>
    <t>090209</t>
  </si>
  <si>
    <t>090214</t>
  </si>
  <si>
    <t>170302</t>
  </si>
  <si>
    <t>Компенсаційні виплати за пільговий проїзд окремих категорій громадян на залізничному транспорті</t>
  </si>
  <si>
    <t>070501</t>
  </si>
  <si>
    <t>0930</t>
  </si>
  <si>
    <t>Міська цільова програма забезпечення членства Запорізької міської ради в Асоціаціях, затверджена рішенням міської ради від 25.12.2015  №  3</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</si>
  <si>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t>
  </si>
  <si>
    <t>Програма раціонального використання території та комплексного містобудівного розвитку міста Запоріжжя, затверджена рішенням міської ради від 31.01.2014 № 22 (зі змінами)</t>
  </si>
  <si>
    <t>Міська цільова програма "Забезпечення належної та безперебійної роботи Запорізького комунального підприємства міського електротранспорту "Запоріжелектротранс", затверджена рішенням міської ради від 25.02.2013 № 30 (зі змінами)</t>
  </si>
  <si>
    <t>Міська цільова програма "Забезпечення належної та безперебійної роботи комунального підприємства "Міжнародний аеропорт Запоріжжя", затверджена рішенням міської ради від  30.01.2013 № 20 (зі змінами)</t>
  </si>
  <si>
    <t>Програма фінансової підтримки КП "Запорізької міської друкарні "Дніпровський металург", затверджена рішенням міської ради від 25.12.2015  № 7</t>
  </si>
  <si>
    <t>Міська цільова програма "Про вирішення невідкладних проблемних питань комунального підприємства Міжнародний аеропорт Запоріжжя", затверджена рішенням від 25.03.2015 № 23 (зі змінами)</t>
  </si>
  <si>
    <t>090501</t>
  </si>
  <si>
    <t>1050</t>
  </si>
  <si>
    <t>Організація та проведення громадських робіт</t>
  </si>
  <si>
    <t>Міська цільова програма "Сприяння органів місцевого самоврядування призову громадян та забезпечення проведення заходів з мобілізації у  м.Запоріжжі на 2016 рік", затверджена рішенням міської ради від 26.02.2016  № 17</t>
  </si>
  <si>
    <t>Програма професійно-технічна освіта на 2016-2018 роки, затверджена рішенням міської ради від 26.02.2016  № 16</t>
  </si>
  <si>
    <t>Програма підтримки муніципального рейтингу, затверджена рішенням міської ради від 26.02.2016  № 23</t>
  </si>
  <si>
    <t xml:space="preserve">Міська цільова програма" Заходи щодо оптимізації фінансово-господарської діяльності комунального підприємства "Преса", затверджена рішенням міської  ради від ______№ </t>
  </si>
  <si>
    <t>Районна адміністрація Запорізької міської ради по Дніпровському району</t>
  </si>
  <si>
    <t>Районна адміністрація Запорізької міської ради по Вознесенівському району</t>
  </si>
  <si>
    <t>Районна адміністрація Запорізької міської ради по Олександрівському району</t>
  </si>
  <si>
    <t>Цільова комплексна програма забезпечення молоді міста Запоріжжя житлом, затверджена рішенням міської ради від 25.12.2015 № 18 (зі змінами)</t>
  </si>
  <si>
    <t>Програма "Розвитку первинної медико-санітарної допомоги міста Запоріжжя на 2016 рік", затверджена рішенням міської ради від 26.02.2016  № 21 (зі змінами)</t>
  </si>
  <si>
    <t>Міська цільова програма створення філій Центру надання адміністративних послуг у м. Запоріжжі, затверджена рішенням міської ради від 25.03.2015  № 27 (зі змінами)</t>
  </si>
  <si>
    <t>Програма розвитку та утримання житлово-комунального господарства м.Запоріжжя на 2016-2018 роки, затверджена рішенням міської ради від 25.12.2015  № 25 (зі змінами)</t>
  </si>
  <si>
    <t>Міська цільова програма запобігання і ліквідації надзвичайних ситуацій техногенного та природного характеру, організація рятування на водах на 2016-2018 роки, затверджена рішенням міської ради від 25.12.2015 № 10 (зі змінами)</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</si>
  <si>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2015-2019 роки, затверджена рішенням міської ради від 26.08.2015 № 56 (зі змінами)</t>
  </si>
  <si>
    <t>Міська комплексна програма соціального захисту населення міста Запоріжжя на 2016-2018 роки, затверджена рішенням міської ради від 25.12.2015  № 9 (зі змінами)</t>
  </si>
  <si>
    <t>Програма "Охорона здоров'я міста Запоріжжя на період 2016-2018 роки", затверджена рішенням міської ради від 25.12.2015 № 16 (зі змінами)</t>
  </si>
  <si>
    <t>грн.</t>
  </si>
  <si>
    <t>100208</t>
  </si>
  <si>
    <t>Впровадження засобів обліку витрат та регулювання споживання води та теплової енергії</t>
  </si>
  <si>
    <t>Департамент реєстраційних послуг Запорізької міської ради</t>
  </si>
  <si>
    <t>Виконавчий комітет Запорізької міської ради</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</si>
  <si>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</si>
  <si>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</si>
  <si>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</si>
  <si>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49</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</si>
  <si>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</si>
  <si>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</si>
  <si>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</si>
  <si>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ріщенням міської ради від 30.03.2016  № 16</t>
  </si>
  <si>
    <t xml:space="preserve"> проведення капітального ремонту багатоквартирних житлових будинків житлово-будівельних кооперативів в м. Запоріжжя </t>
  </si>
  <si>
    <t xml:space="preserve"> Програма "Фінансування заходів з дератизації відкритих стацій та дезінсекції анофелогенних водоймищ м.Запоріжжя ", затверджена рішенням міської ради від 25.12.2015 № 21 (зі змінами)</t>
  </si>
  <si>
    <t>Програма "Фізична культура та спорт на 2016-2018 роки", затверджена рішенням міської ради від 25.12.2015 № 18 (зі змінами)</t>
  </si>
  <si>
    <t>130113</t>
  </si>
  <si>
    <t>Департамент правового забезпечення Запорізької міської ради</t>
  </si>
  <si>
    <t>Департамент освіти і науки Запорізької міської ради</t>
  </si>
  <si>
    <t>11</t>
  </si>
  <si>
    <t xml:space="preserve"> Програма фінансування деяких заходів щодо сприяння  розвитку малого та середнього підприємництва у місті Запоріжжі на 2016 рік, затверджена рішенням міської ради від 27.04.2016 № 25 (зі змінами)</t>
  </si>
  <si>
    <t>Міська цільова програма "Фінансова підтримка комунального підприємства "Муніципальна телевізійна мережа" (Телеканал "МТМ")", затверджена рішенням міської ради від 25.12.2015 № 12 (зі змінами)</t>
  </si>
  <si>
    <t>Міська цільова програма "Проведення комплексного обстеження пасажиропотоків на маршрутах міського пасажирського транспорту загального користування в м. Запоріжжі", затверджена рішенням міської ради від 30.06.2016 № 40</t>
  </si>
  <si>
    <t>070303</t>
  </si>
  <si>
    <t>090802</t>
  </si>
  <si>
    <t>Міська цільова програма  "Запорізька Муніципальна Інтегрована Система Обробки Інформації", затверджена рішенням міської ради від 30.06.2016 № 45</t>
  </si>
  <si>
    <t>Міська цільова програма підтримки засобу масової інформації місцевого значення - КП "Редакція газети "Запорозька Січ" затверджена рішенням міської ради від 25.12.2015  № 4 (зі змінами)</t>
  </si>
  <si>
    <t xml:space="preserve">Програма "Фінансова прідтримка комунального науково-виробничого підприємства "Екоцентр" на 2016 рік, затверджена рішенням від              № </t>
  </si>
  <si>
    <t xml:space="preserve"> </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</si>
  <si>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Служби безпеки України і Служби з надзвичайних ситуацій України на 2016 рік, затверджена рішенням міської ради від 30.03.2016 № 11 (зі змінами)</t>
  </si>
  <si>
    <t>Міська цільова програма "Фінансова допомога комунальному підприємству "Запорізьке енергетичне агентство Запорізької міської ради" на поповнення обігових коштів для забезпечення стабільної роботи підприємства", затверджена рішенням міської ради від 26.02.2016 №   18 (зі змінами)</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</si>
  <si>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t>
  </si>
  <si>
    <t>Міська програма "Програма соціального захисту дітей та розвитку сімейних форм виховання дітей-сиріт та дітей, позбавлених батьківського піклування, у м. Запоріжжі 2016-2018 роки", затверджена рішенням міської ради від  25.08.2016   № 32</t>
  </si>
  <si>
    <t xml:space="preserve">Програма соціального захисту населення міста Запоряжжя "З теплом до людей" на 2016-2017 роки, затверджена рішенням міської ради від   № </t>
  </si>
  <si>
    <t>Програма "Муніципальної аварійної служби та служби технічного обслуговування систем диспетчеризації ліфтів м. Запоріжжя", затверджена рішенням міської ради від   №</t>
  </si>
  <si>
    <t>Міська цільова програма розширення мережі філій Центру надання адміністративних послуг у м.Запоріжжі, затверджена рішенням міської ради від №</t>
  </si>
  <si>
    <t>Департамент з управління житлово-комунальним господарством Запорізької міської ради</t>
  </si>
  <si>
    <t>0317210</t>
  </si>
  <si>
    <t>0317211</t>
  </si>
  <si>
    <t>0317470</t>
  </si>
  <si>
    <t>Перелік місцевих (регіональних) програм, які фінансуватимуться за рахунок коштів бюджету міста у 2017 році</t>
  </si>
  <si>
    <t>0310000</t>
  </si>
  <si>
    <t>0310100</t>
  </si>
  <si>
    <t>010000</t>
  </si>
  <si>
    <t>Державне управління</t>
  </si>
  <si>
    <t>0317200</t>
  </si>
  <si>
    <t>120000</t>
  </si>
  <si>
    <t>Засоби масової інформації</t>
  </si>
  <si>
    <t>Підтримка засобів масової інформації</t>
  </si>
  <si>
    <t>Сприяння діяльності телебачення і радіомовлення</t>
  </si>
  <si>
    <t>0317212</t>
  </si>
  <si>
    <t>Підтримка періодичних видань (газет та журналів)</t>
  </si>
  <si>
    <t>0317400</t>
  </si>
  <si>
    <t>180000</t>
  </si>
  <si>
    <t>Інші послуги, пов'язані з економічною діяльністю</t>
  </si>
  <si>
    <t>0316300</t>
  </si>
  <si>
    <t>150000</t>
  </si>
  <si>
    <t xml:space="preserve">Будівництво </t>
  </si>
  <si>
    <t>0316310</t>
  </si>
  <si>
    <t>Реалізація заходів щодо інвестиційного розвитку території</t>
  </si>
  <si>
    <t>0316322</t>
  </si>
  <si>
    <t>0319100</t>
  </si>
  <si>
    <t>240000</t>
  </si>
  <si>
    <t>Цільові фонди</t>
  </si>
  <si>
    <t>0319180</t>
  </si>
  <si>
    <t>0319181</t>
  </si>
  <si>
    <t>Цільовий фонд, утворений міською радою</t>
  </si>
  <si>
    <t>0318000</t>
  </si>
  <si>
    <t>250000</t>
  </si>
  <si>
    <t>Видатки, не віднесені до основних груп</t>
  </si>
  <si>
    <t>0318600</t>
  </si>
  <si>
    <t>Фінансова підтримка комунальних підприємств, організацій, органів самоорганізації населення</t>
  </si>
  <si>
    <t>Заходи з інвентаризації, оцінки та оформлення права власності об’єктів нерухомості, утримання та охорона об'єктів комунальної власності</t>
  </si>
  <si>
    <t>Підготовка та проведення масових заходів, забезпечення відеоконтролю у місцях масового перебування громадян</t>
  </si>
  <si>
    <t>1010000</t>
  </si>
  <si>
    <t>1010180</t>
  </si>
  <si>
    <t>1010100</t>
  </si>
  <si>
    <t>1011000</t>
  </si>
  <si>
    <t>070000</t>
  </si>
  <si>
    <t>Освіта</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</si>
  <si>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</si>
  <si>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</si>
  <si>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</si>
  <si>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</si>
  <si>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</si>
  <si>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1011090</t>
  </si>
  <si>
    <t>Надання позашкільної освіти позашкільними закладами освіти, заходи із позашкільної роботи з дітьми</t>
  </si>
  <si>
    <t>1011100</t>
  </si>
  <si>
    <t>Підготовка робітничих кадрів закладами професійно-технічної освіти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</si>
  <si>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</si>
  <si>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</si>
  <si>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</si>
  <si>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</si>
  <si>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</si>
  <si>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</si>
  <si>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</si>
  <si>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</si>
  <si>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</si>
  <si>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</si>
  <si>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1013000</t>
  </si>
  <si>
    <t>090000</t>
  </si>
  <si>
    <t>Соціальний захист та соціальне забезпечення</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</si>
  <si>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</si>
  <si>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</si>
  <si>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t>
  </si>
  <si>
    <t>1016300</t>
  </si>
  <si>
    <t>1016310</t>
  </si>
  <si>
    <t>1016330</t>
  </si>
  <si>
    <t>Проведення невідкладних відновлювальних робіт, будівництво та реконструкція загальноосвітніх навчальних закладів</t>
  </si>
  <si>
    <t>1016340</t>
  </si>
  <si>
    <t>150111</t>
  </si>
  <si>
    <t>0922</t>
  </si>
  <si>
    <t>Проведення невідкладних відновлювальних робіт, будівництво та реконструкція спеціалізованих навчальних закладів</t>
  </si>
  <si>
    <t>1016350</t>
  </si>
  <si>
    <t>1019100</t>
  </si>
  <si>
    <t>1019110</t>
  </si>
  <si>
    <t>1019180</t>
  </si>
  <si>
    <t>1019181</t>
  </si>
  <si>
    <t>1110000</t>
  </si>
  <si>
    <t>1110100</t>
  </si>
  <si>
    <t>1110180</t>
  </si>
  <si>
    <t>Керівництво і управління у сфері спорту, сім'ї та молоді</t>
  </si>
  <si>
    <t>1113000</t>
  </si>
  <si>
    <t>1113140</t>
  </si>
  <si>
    <t>Заходи державної політики з питань молоді</t>
  </si>
  <si>
    <t>1115000</t>
  </si>
  <si>
    <t>130000</t>
  </si>
  <si>
    <t>Фізична культура і спорт</t>
  </si>
  <si>
    <t>1115010</t>
  </si>
  <si>
    <t>Проведення спортивної роботи в регіоні</t>
  </si>
  <si>
    <t>1115011</t>
  </si>
  <si>
    <t>Проведення навчально-тренувальних зборів і змагань з олімпійських видів спорту</t>
  </si>
  <si>
    <t>1115012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</si>
  <si>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</si>
  <si>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</si>
  <si>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1115050</t>
  </si>
  <si>
    <t>1116300</t>
  </si>
  <si>
    <t>1116310</t>
  </si>
  <si>
    <t>1118000</t>
  </si>
  <si>
    <t>1118108</t>
  </si>
  <si>
    <t>1118103</t>
  </si>
  <si>
    <t>Надання та повернення пільгового довгострокового кредиту на будівництво (реконструкцію) та придбання житла</t>
  </si>
  <si>
    <t>1410000</t>
  </si>
  <si>
    <t>Департамент охорони здоров'я Запорізької міської ради</t>
  </si>
  <si>
    <t>1410100</t>
  </si>
  <si>
    <t>1410180</t>
  </si>
  <si>
    <t>Керівництво і управління у сфері охорони здоров'я</t>
  </si>
  <si>
    <t>1412000</t>
  </si>
  <si>
    <t>080000</t>
  </si>
  <si>
    <t>Охорона здоров'я</t>
  </si>
  <si>
    <t>1412010</t>
  </si>
  <si>
    <t>Багатопрофільна стаціонарна медична допомога населенню</t>
  </si>
  <si>
    <t>1412050</t>
  </si>
  <si>
    <t>Лкарсько-акушерська допомога вагітним, породіллям та новонародженим</t>
  </si>
  <si>
    <t>1412120</t>
  </si>
  <si>
    <t>Амбулаторно-поліклінічна допомога населенню</t>
  </si>
  <si>
    <t>1412140</t>
  </si>
  <si>
    <t>Надання стоматологічної допомоги населенню</t>
  </si>
  <si>
    <t>1412170</t>
  </si>
  <si>
    <t>080704</t>
  </si>
  <si>
    <t>0740</t>
  </si>
  <si>
    <t>Інформаційно-методичне та просвітницьке забезпечення в галузі охорони здоров'я</t>
  </si>
  <si>
    <t>1412180</t>
  </si>
  <si>
    <t>Первинна медична допомога населенню</t>
  </si>
  <si>
    <t>1412200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</si>
  <si>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</si>
  <si>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1412210</t>
  </si>
  <si>
    <t>Програми і централізовані заходи у галузі охорони здоров'я</t>
  </si>
  <si>
    <t>1412214</t>
  </si>
  <si>
    <t>1412220</t>
  </si>
  <si>
    <t>Інші заходи в галузі охорони здоров'я</t>
  </si>
  <si>
    <t>1412221</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</si>
  <si>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</si>
  <si>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1412222</t>
  </si>
  <si>
    <t>Медична статистика та інформаційна підтримка виконання програм по галузі охорони здоров'я міста</t>
  </si>
  <si>
    <t>1416300</t>
  </si>
  <si>
    <t>Будівництво</t>
  </si>
  <si>
    <t>1416310</t>
  </si>
  <si>
    <t>1510000</t>
  </si>
  <si>
    <t>1510100</t>
  </si>
  <si>
    <t>1510180</t>
  </si>
  <si>
    <t>Керівництво і управління у сфері соціального захисту населення</t>
  </si>
  <si>
    <t>1513000</t>
  </si>
  <si>
    <t>1513030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</si>
  <si>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</si>
  <si>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</si>
  <si>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</si>
  <si>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</si>
  <si>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</si>
  <si>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</si>
  <si>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Надання пільг окремим категоріям громадян з оплати послуг зв'язку</t>
  </si>
  <si>
    <t>1513035</t>
  </si>
  <si>
    <t>Компенсаційні виплати на пільговий проїзд автомобільним транспортом окремим категоріям громадян</t>
  </si>
  <si>
    <t>1513036</t>
  </si>
  <si>
    <t>Компенсаційні виплати за пільговий проїзд окремих категорій громадян на  водному транспорті</t>
  </si>
  <si>
    <t>1513037</t>
  </si>
  <si>
    <t>1513038</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</si>
  <si>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</si>
  <si>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</si>
  <si>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</si>
  <si>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</si>
  <si>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1513240</t>
  </si>
  <si>
    <t>1513130</t>
  </si>
  <si>
    <t>Здійснення соціальної роботи з вразливими категоріями населення</t>
  </si>
  <si>
    <t>1513131</t>
  </si>
  <si>
    <t>Центри соціальних служб для сім'ї, дітей та молоді</t>
  </si>
  <si>
    <t>1513132</t>
  </si>
  <si>
    <t>1513200</t>
  </si>
  <si>
    <t>Соціальний захист ветеранів війни і праці</t>
  </si>
  <si>
    <t>1513202</t>
  </si>
  <si>
    <t>Надання фінансової підтримки громадським організаціям інвалідів і ветеранів, діяльність яких має соціальну спрямованість</t>
  </si>
  <si>
    <t>1513400</t>
  </si>
  <si>
    <t xml:space="preserve">Міська комплексна програма соціального захисту та інші соціальні виплати населенню </t>
  </si>
  <si>
    <t>1516300</t>
  </si>
  <si>
    <t>1516310</t>
  </si>
  <si>
    <t>2010000</t>
  </si>
  <si>
    <t>2010100</t>
  </si>
  <si>
    <t>2010180</t>
  </si>
  <si>
    <t>Керівництво і управління у сфері справ дітей</t>
  </si>
  <si>
    <t>2013110</t>
  </si>
  <si>
    <t>Заклади і заходи з питань дітей та їх соціального захисту</t>
  </si>
  <si>
    <t>2013112</t>
  </si>
  <si>
    <t>1040 </t>
  </si>
  <si>
    <t>Заходи державної політики з питань дітей та їх соціального захисту</t>
  </si>
  <si>
    <t>2011060</t>
  </si>
  <si>
    <t>2310000</t>
  </si>
  <si>
    <t>2310100</t>
  </si>
  <si>
    <t>2310180</t>
  </si>
  <si>
    <t>Керівництво і управління у сфері правового забезпечення</t>
  </si>
  <si>
    <t>2410000</t>
  </si>
  <si>
    <t>2410100</t>
  </si>
  <si>
    <t>2410180</t>
  </si>
  <si>
    <t>2414000</t>
  </si>
  <si>
    <t>110000</t>
  </si>
  <si>
    <t>Культура і мистецтво</t>
  </si>
  <si>
    <t>2414020</t>
  </si>
  <si>
    <t>2414060</t>
  </si>
  <si>
    <t>2414090</t>
  </si>
  <si>
    <t>2414100</t>
  </si>
  <si>
    <t>2414110</t>
  </si>
  <si>
    <t>110300</t>
  </si>
  <si>
    <t>2414200</t>
  </si>
  <si>
    <t>110502</t>
  </si>
  <si>
    <t>2414205</t>
  </si>
  <si>
    <t>Оцінка вартості пам’яток історії та монументального мистецтва</t>
  </si>
  <si>
    <t>2416300</t>
  </si>
  <si>
    <t>2416310</t>
  </si>
  <si>
    <t>Заходи з розвитку туризму</t>
  </si>
  <si>
    <t>2417500</t>
  </si>
  <si>
    <t>2417501</t>
  </si>
  <si>
    <t>3210000</t>
  </si>
  <si>
    <t>3210100</t>
  </si>
  <si>
    <t>3210180</t>
  </si>
  <si>
    <t>Керівництво і управління у сфері підтримки підприємництва, регуляторної політики, організації надання адміністративних послуг</t>
  </si>
  <si>
    <t>3216300</t>
  </si>
  <si>
    <t>3216310</t>
  </si>
  <si>
    <t>3217400</t>
  </si>
  <si>
    <t>3217450</t>
  </si>
  <si>
    <t>Сприяння розвитку малого та середнього підприємництва</t>
  </si>
  <si>
    <t>3218000</t>
  </si>
  <si>
    <t>3218600</t>
  </si>
  <si>
    <t>3310000</t>
  </si>
  <si>
    <t>Департамент реєстраційних послуг міської ради</t>
  </si>
  <si>
    <t>3310100</t>
  </si>
  <si>
    <t>3310180</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</si>
  <si>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</si>
  <si>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4010000</t>
  </si>
  <si>
    <t>Департамент з управління житлового-комунальним господарством Запорізької міської ради</t>
  </si>
  <si>
    <t>4010100</t>
  </si>
  <si>
    <t>4010180</t>
  </si>
  <si>
    <t>Керівництво і управління у сфері житлово-комунального господарства</t>
  </si>
  <si>
    <t>4016000</t>
  </si>
  <si>
    <t>100000</t>
  </si>
  <si>
    <t>Житлово-комунальне господарство</t>
  </si>
  <si>
    <t>4016010</t>
  </si>
  <si>
    <t>Забезпечення надійного та безперебійного функціонування житлово-експлуатаційного господарства</t>
  </si>
  <si>
    <t>4016020</t>
  </si>
  <si>
    <t>Капітальний ремонт об'єктів житлового господарства</t>
  </si>
  <si>
    <t>4016021</t>
  </si>
  <si>
    <t xml:space="preserve">Капітальний ремонт житлового фонду </t>
  </si>
  <si>
    <t>4016022</t>
  </si>
  <si>
    <t>4016100</t>
  </si>
  <si>
    <t>4016300</t>
  </si>
  <si>
    <t>4016310</t>
  </si>
  <si>
    <t>4016320</t>
  </si>
  <si>
    <t>Надання допомоги у вирішенні житлових питань</t>
  </si>
  <si>
    <t>4016324</t>
  </si>
  <si>
    <t>Будівництво та придбання житла для окремих категорій населення</t>
  </si>
  <si>
    <t>4016400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</si>
  <si>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</si>
  <si>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4017400</t>
  </si>
  <si>
    <t>4017470</t>
  </si>
  <si>
    <t>Внески до статутного капіталу суб'єктів господарювання</t>
  </si>
  <si>
    <t>4018000</t>
  </si>
  <si>
    <t>4018600</t>
  </si>
  <si>
    <t>4018605</t>
  </si>
  <si>
    <t>4019100</t>
  </si>
  <si>
    <t>4019110</t>
  </si>
  <si>
    <t>4110000</t>
  </si>
  <si>
    <t>Департамент інфраструктури та благоустрою міста Запорізької міської ради</t>
  </si>
  <si>
    <t>4110100</t>
  </si>
  <si>
    <t>4110180</t>
  </si>
  <si>
    <t>Керівництво і управління у сфері інфраструктури та благоустрою</t>
  </si>
  <si>
    <t>4113000</t>
  </si>
  <si>
    <t>4113240</t>
  </si>
  <si>
    <t>4113400</t>
  </si>
  <si>
    <t>4116000</t>
  </si>
  <si>
    <t>4116060</t>
  </si>
  <si>
    <t>4116300</t>
  </si>
  <si>
    <t>4116310</t>
  </si>
  <si>
    <t>4116600</t>
  </si>
  <si>
    <t>170000</t>
  </si>
  <si>
    <t>Транспорт, дорожнє господарство, зв'язок, телекомунікації та інформатика</t>
  </si>
  <si>
    <t>4117400</t>
  </si>
  <si>
    <t>4118000</t>
  </si>
  <si>
    <t>4118600</t>
  </si>
  <si>
    <t>4118603</t>
  </si>
  <si>
    <t>4119100</t>
  </si>
  <si>
    <t>4119110</t>
  </si>
  <si>
    <t>4510000</t>
  </si>
  <si>
    <t>4510100</t>
  </si>
  <si>
    <t>4510180</t>
  </si>
  <si>
    <t>Керівництво і управління у сфері управління майном права комунальної власності</t>
  </si>
  <si>
    <t>4518000</t>
  </si>
  <si>
    <t>4518600</t>
  </si>
  <si>
    <t>4518605</t>
  </si>
  <si>
    <t>4810000</t>
  </si>
  <si>
    <t>4810100</t>
  </si>
  <si>
    <t>4810180</t>
  </si>
  <si>
    <t>Керівництво і управління у сфері містобудування та архітектури</t>
  </si>
  <si>
    <t>4816430</t>
  </si>
  <si>
    <t>4818000</t>
  </si>
  <si>
    <t>4818600</t>
  </si>
  <si>
    <t>4818602</t>
  </si>
  <si>
    <t>4910000</t>
  </si>
  <si>
    <t>Інспекція державного архітектурно-будівельного контролю Запорізької міської ради</t>
  </si>
  <si>
    <t>4910100</t>
  </si>
  <si>
    <t>4910180</t>
  </si>
  <si>
    <t>Керівництво і управління у сфері державного архітеркурно-будівельного контролю</t>
  </si>
  <si>
    <t>5010000</t>
  </si>
  <si>
    <t>5010100</t>
  </si>
  <si>
    <t>5010180</t>
  </si>
  <si>
    <t>Керівництво і управління у сфері контролю за дотриманням законодавства про благоустрій</t>
  </si>
  <si>
    <t>5610000</t>
  </si>
  <si>
    <t>5610100</t>
  </si>
  <si>
    <t>5610180</t>
  </si>
  <si>
    <t>Керівництво і управління у сфері земельних відносин</t>
  </si>
  <si>
    <t>5617300</t>
  </si>
  <si>
    <t>Сільське і лісове господарство, рибне господарство та мисливство</t>
  </si>
  <si>
    <t>5617310</t>
  </si>
  <si>
    <t>0421</t>
  </si>
  <si>
    <t>Проведення заходів із землеустрою</t>
  </si>
  <si>
    <t>6010000</t>
  </si>
  <si>
    <t>6010100</t>
  </si>
  <si>
    <t>6010180</t>
  </si>
  <si>
    <t>Керівництво і управління у сфері охорони навколишнього природного  середовища</t>
  </si>
  <si>
    <t>6016300</t>
  </si>
  <si>
    <t>6016310</t>
  </si>
  <si>
    <t>6018000</t>
  </si>
  <si>
    <t>6018600</t>
  </si>
  <si>
    <t>6018602</t>
  </si>
  <si>
    <t>6019100</t>
  </si>
  <si>
    <t>6019110</t>
  </si>
  <si>
    <t>6510000</t>
  </si>
  <si>
    <t>6510100</t>
  </si>
  <si>
    <t>6510180</t>
  </si>
  <si>
    <t>Керівництво і управління у сфері транспортну та зв'язку</t>
  </si>
  <si>
    <t>6516300</t>
  </si>
  <si>
    <t>6516310</t>
  </si>
  <si>
    <t>6516600</t>
  </si>
  <si>
    <t>6516640</t>
  </si>
  <si>
    <t>6516700</t>
  </si>
  <si>
    <t>6517400</t>
  </si>
  <si>
    <t>6517470</t>
  </si>
  <si>
    <t>6518600</t>
  </si>
  <si>
    <t>6518602</t>
  </si>
  <si>
    <t>6518606</t>
  </si>
  <si>
    <t>6710000</t>
  </si>
  <si>
    <t>6710100</t>
  </si>
  <si>
    <t>6710180</t>
  </si>
  <si>
    <t>Керівництво і управління у сфері техногенно-екологічної безпеки цивільного захисту та надзвичайних ситуацій</t>
  </si>
  <si>
    <t>6717800</t>
  </si>
  <si>
    <t>210000</t>
  </si>
  <si>
    <t>Запобігання та ліквідація надзвичайних ситуацій та наслідків стихійного лиха</t>
  </si>
  <si>
    <t>6717810</t>
  </si>
  <si>
    <t>6717840</t>
  </si>
  <si>
    <t xml:space="preserve">Організація рятування на водах </t>
  </si>
  <si>
    <t>7310000</t>
  </si>
  <si>
    <t>7310100</t>
  </si>
  <si>
    <t>7310180</t>
  </si>
  <si>
    <t>Керівництво і управління у сфері соціально-економічного розвитку</t>
  </si>
  <si>
    <t>7316300</t>
  </si>
  <si>
    <t>7316310</t>
  </si>
  <si>
    <t>7316400</t>
  </si>
  <si>
    <t>7317400</t>
  </si>
  <si>
    <t>7317470</t>
  </si>
  <si>
    <t>7318000</t>
  </si>
  <si>
    <t>7318600</t>
  </si>
  <si>
    <t>7318602</t>
  </si>
  <si>
    <t>7319100</t>
  </si>
  <si>
    <t>7319180</t>
  </si>
  <si>
    <t>7319181</t>
  </si>
  <si>
    <t>7510000</t>
  </si>
  <si>
    <t>7510100</t>
  </si>
  <si>
    <t>7510180</t>
  </si>
  <si>
    <t>Керівництво і управління у сфері бюджету та фінансів</t>
  </si>
  <si>
    <t>7518000</t>
  </si>
  <si>
    <t>7518600</t>
  </si>
  <si>
    <t>7518607</t>
  </si>
  <si>
    <t>7610000</t>
  </si>
  <si>
    <t>7618000</t>
  </si>
  <si>
    <t>7618370</t>
  </si>
  <si>
    <t>Субвенція з місцевого бюджету державному бюджету на виконання програм соціально-економічного та культурного розвитку регіонів</t>
  </si>
  <si>
    <t>7618800</t>
  </si>
  <si>
    <t>250380</t>
  </si>
  <si>
    <t>9010000</t>
  </si>
  <si>
    <t>9010100</t>
  </si>
  <si>
    <t>9010180</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</si>
  <si>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</si>
  <si>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9016000</t>
  </si>
  <si>
    <t>9016010</t>
  </si>
  <si>
    <t>9016060</t>
  </si>
  <si>
    <t>9016300</t>
  </si>
  <si>
    <t>9016310</t>
  </si>
  <si>
    <t>9018000</t>
  </si>
  <si>
    <t>9018600</t>
  </si>
  <si>
    <t>Підтримка призову на військову службу та заходи з мобілізації</t>
  </si>
  <si>
    <t>9110000</t>
  </si>
  <si>
    <t>9110100</t>
  </si>
  <si>
    <t>9110180</t>
  </si>
  <si>
    <t>9116000</t>
  </si>
  <si>
    <t>9116010</t>
  </si>
  <si>
    <t>9116060</t>
  </si>
  <si>
    <t>9116300</t>
  </si>
  <si>
    <t>9116310</t>
  </si>
  <si>
    <t>9119100</t>
  </si>
  <si>
    <t>9119180</t>
  </si>
  <si>
    <t>9119181</t>
  </si>
  <si>
    <t>9210000</t>
  </si>
  <si>
    <t xml:space="preserve"> Районна адміністрація Запорізької міської ради по Вознесенівському району</t>
  </si>
  <si>
    <t>9210100</t>
  </si>
  <si>
    <t>9210180</t>
  </si>
  <si>
    <t>9216000</t>
  </si>
  <si>
    <t>9216010</t>
  </si>
  <si>
    <t>9216060</t>
  </si>
  <si>
    <t>9216300</t>
  </si>
  <si>
    <t>9216310</t>
  </si>
  <si>
    <t>9218600</t>
  </si>
  <si>
    <t>9118000</t>
  </si>
  <si>
    <t>9118600</t>
  </si>
  <si>
    <t>9219100</t>
  </si>
  <si>
    <t>9219181</t>
  </si>
  <si>
    <t>9310000</t>
  </si>
  <si>
    <t xml:space="preserve"> Районна адміністрація Запорізької міської ради по Олександрівському району</t>
  </si>
  <si>
    <t>9310100</t>
  </si>
  <si>
    <t>9310180</t>
  </si>
  <si>
    <t>9316000</t>
  </si>
  <si>
    <t>9316010</t>
  </si>
  <si>
    <t>9316060</t>
  </si>
  <si>
    <t>9316300</t>
  </si>
  <si>
    <t>9316310</t>
  </si>
  <si>
    <t>9218000</t>
  </si>
  <si>
    <t>9318000</t>
  </si>
  <si>
    <t>9318600</t>
  </si>
  <si>
    <t>9319100</t>
  </si>
  <si>
    <t>9319181</t>
  </si>
  <si>
    <t>9410000</t>
  </si>
  <si>
    <t xml:space="preserve"> Районна адміністрація Запорізької міської ради по Шевченківському району</t>
  </si>
  <si>
    <t>9410100</t>
  </si>
  <si>
    <t>9410180</t>
  </si>
  <si>
    <t>9416000</t>
  </si>
  <si>
    <t>9416010</t>
  </si>
  <si>
    <t>9416060</t>
  </si>
  <si>
    <t>9416300</t>
  </si>
  <si>
    <t>9416310</t>
  </si>
  <si>
    <t>9418000</t>
  </si>
  <si>
    <t>9418600</t>
  </si>
  <si>
    <t>9419100</t>
  </si>
  <si>
    <t>9510000</t>
  </si>
  <si>
    <t xml:space="preserve"> Районна адміністрація Запорізької міської ради по Заводському району</t>
  </si>
  <si>
    <t>9510100</t>
  </si>
  <si>
    <t>9510180</t>
  </si>
  <si>
    <t>9516300</t>
  </si>
  <si>
    <t>9516310</t>
  </si>
  <si>
    <t>9516000</t>
  </si>
  <si>
    <t>9516010</t>
  </si>
  <si>
    <t>9516060</t>
  </si>
  <si>
    <t>9610000</t>
  </si>
  <si>
    <t xml:space="preserve"> Районна адміністрація Запорізької міської ради по Комунарському району</t>
  </si>
  <si>
    <t>9610100</t>
  </si>
  <si>
    <t>9610180</t>
  </si>
  <si>
    <t>9616000</t>
  </si>
  <si>
    <t>9616010</t>
  </si>
  <si>
    <t>9616300</t>
  </si>
  <si>
    <t>9616310</t>
  </si>
  <si>
    <t>9518000</t>
  </si>
  <si>
    <t>9518600</t>
  </si>
  <si>
    <t>9519100</t>
  </si>
  <si>
    <t>9549181</t>
  </si>
  <si>
    <t>9618000</t>
  </si>
  <si>
    <t>9618600</t>
  </si>
  <si>
    <t>9618608</t>
  </si>
  <si>
    <t>9619100</t>
  </si>
  <si>
    <t>9649181</t>
  </si>
  <si>
    <t>9019100</t>
  </si>
  <si>
    <t>9019180</t>
  </si>
  <si>
    <t>9019181</t>
  </si>
  <si>
    <t>Керівництво і управління у сфері освіти і науки</t>
  </si>
  <si>
    <t>100204</t>
  </si>
  <si>
    <t>4116650</t>
  </si>
  <si>
    <t>4117470</t>
  </si>
  <si>
    <t>9449181</t>
  </si>
  <si>
    <t>9616060</t>
  </si>
  <si>
    <t>Апарат управління</t>
  </si>
  <si>
    <t>Утримання та розвиток інфраструктури доріг</t>
  </si>
  <si>
    <t>Видатки на запобігання та ліквідацію надзвич. Ситуац.</t>
  </si>
  <si>
    <t>Організація рятування на водах</t>
  </si>
  <si>
    <t>Забезпечення належних умов для виховання та розвиткудітей-сиріт і дітей, позб.</t>
  </si>
  <si>
    <t>Оздоровлення та відпочинок</t>
  </si>
  <si>
    <t>Надання інших пільг ветер. Війні</t>
  </si>
  <si>
    <t>Надання інших пільг чорнобильцям</t>
  </si>
  <si>
    <t>Надання пільг з послуг звязку</t>
  </si>
  <si>
    <t>Соціальний захист ветеранів війни та праці</t>
  </si>
  <si>
    <t>91103+091102+091101</t>
  </si>
  <si>
    <t xml:space="preserve">Здійснення соц. роботи з вразлив. катег.+зоходи </t>
  </si>
  <si>
    <t>Забезпечення соціальними послугами за місцем проживання громадян,</t>
  </si>
  <si>
    <t xml:space="preserve">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________ № </t>
  </si>
  <si>
    <t xml:space="preserve">Програма проведення в м.Запоріжжі Покровського ярмарку з нагоди святкування Дня міста у 2017 році, затверджена рішенням міської ради від  № </t>
  </si>
  <si>
    <t>Міська цільова програма "Безпечне місто", затверджена рішенням від  №</t>
  </si>
  <si>
    <t>Програма сприяння молодіжному руху "Молодь для міста" на 2017-2018 роки, затверджена рішенням міської ради від   №</t>
  </si>
  <si>
    <t xml:space="preserve">Міська цільова програма з організації та відзначення в м. Запоріжжя загальнодержавних, міських та районних свят, державних пам'ятних дат, та історичних подій на 2017 рік, атверджена рішенням міської ради від ________ № </t>
  </si>
  <si>
    <t>забезпечення над. і безпер. Функц. Жит-експ. Господ.</t>
  </si>
  <si>
    <t>благоустрій</t>
  </si>
  <si>
    <t>в том числе 170102+170302+170602+170203</t>
  </si>
  <si>
    <t>Діяльність і послуги не віднесені до інших категорій</t>
  </si>
  <si>
    <t>Підтримка малого та середнього підприємництва</t>
  </si>
  <si>
    <t>Інші заходи, пов'язані з економічною діяльністю (заходи програми розвитку туризму)</t>
  </si>
  <si>
    <t>Кап.вкладення</t>
  </si>
  <si>
    <t>Будівництво та придбання житла</t>
  </si>
  <si>
    <t>Заходи з упередження аварій та запобігання техногенних катастроф у житлово-комунальному господарстві та інших аварійних об'єктах комунальної власності</t>
  </si>
  <si>
    <t>розробка схем та проектних рішень масового застосування</t>
  </si>
  <si>
    <t>Внески в статутні фонди</t>
  </si>
  <si>
    <t>Інші природоохоронні заходи</t>
  </si>
  <si>
    <t>Субвенція державному бюджету (на правоохоронні органи)</t>
  </si>
  <si>
    <t>Видатки на впровадження засобів обліку витрат та регулювання споживання води та теплової енергії</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</si>
  <si>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</si>
  <si>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Код типової програмної класифікації видатків та кредитування місцевих бюджетів (КТПККВК)</t>
  </si>
  <si>
    <t>0170</t>
  </si>
  <si>
    <t>0100</t>
  </si>
  <si>
    <t>7200</t>
  </si>
  <si>
    <t>7210</t>
  </si>
  <si>
    <t>7211</t>
  </si>
  <si>
    <t>7212</t>
  </si>
  <si>
    <t>6300</t>
  </si>
  <si>
    <t>6310</t>
  </si>
  <si>
    <t>6322</t>
  </si>
  <si>
    <t>7400</t>
  </si>
  <si>
    <t>7470</t>
  </si>
  <si>
    <t>8000</t>
  </si>
  <si>
    <t>8600</t>
  </si>
  <si>
    <t>8602</t>
  </si>
  <si>
    <t>8605</t>
  </si>
  <si>
    <t>8606</t>
  </si>
  <si>
    <t>8607</t>
  </si>
  <si>
    <t>9100</t>
  </si>
  <si>
    <t>9180</t>
  </si>
  <si>
    <t>9181</t>
  </si>
  <si>
    <t>1000</t>
  </si>
  <si>
    <t>1010</t>
  </si>
  <si>
    <t>1100</t>
  </si>
  <si>
    <t>1170</t>
  </si>
  <si>
    <t>1180</t>
  </si>
  <si>
    <t>1190</t>
  </si>
  <si>
    <t>1200</t>
  </si>
  <si>
    <t>1210</t>
  </si>
  <si>
    <t>3000</t>
  </si>
  <si>
    <t>3160</t>
  </si>
  <si>
    <t>3240</t>
  </si>
  <si>
    <t>6330</t>
  </si>
  <si>
    <t>6340</t>
  </si>
  <si>
    <t>6350</t>
  </si>
  <si>
    <t>9110</t>
  </si>
  <si>
    <t>3140</t>
  </si>
  <si>
    <t>5000</t>
  </si>
  <si>
    <t>5010</t>
  </si>
  <si>
    <t>5011</t>
  </si>
  <si>
    <t>5012</t>
  </si>
  <si>
    <t>5050</t>
  </si>
  <si>
    <t>8100</t>
  </si>
  <si>
    <t>8103</t>
  </si>
  <si>
    <t>8108</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</si>
  <si>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</si>
  <si>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</si>
  <si>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</si>
  <si>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</si>
  <si>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</si>
  <si>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</si>
  <si>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</si>
  <si>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</si>
  <si>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</si>
  <si>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</si>
  <si>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</si>
  <si>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</si>
  <si>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</si>
  <si>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</si>
  <si>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</si>
  <si>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</si>
  <si>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</si>
  <si>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</si>
  <si>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</si>
  <si>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</si>
  <si>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</si>
  <si>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</si>
  <si>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</si>
  <si>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3130</t>
  </si>
  <si>
    <t>3131</t>
  </si>
  <si>
    <t>3132</t>
  </si>
  <si>
    <t>3200</t>
  </si>
  <si>
    <t>3202</t>
  </si>
  <si>
    <t>3400</t>
  </si>
  <si>
    <t>3401</t>
  </si>
  <si>
    <t>3110</t>
  </si>
  <si>
    <t>3112</t>
  </si>
  <si>
    <t>4000</t>
  </si>
  <si>
    <t>4020</t>
  </si>
  <si>
    <t>4060</t>
  </si>
  <si>
    <t>4090</t>
  </si>
  <si>
    <t>4100</t>
  </si>
  <si>
    <t>4110</t>
  </si>
  <si>
    <t>4200</t>
  </si>
  <si>
    <t>4205</t>
  </si>
  <si>
    <t>7500</t>
  </si>
  <si>
    <t>7501</t>
  </si>
  <si>
    <t>7450</t>
  </si>
  <si>
    <t>6000</t>
  </si>
  <si>
    <t>6010</t>
  </si>
  <si>
    <t>6020</t>
  </si>
  <si>
    <t>6021</t>
  </si>
  <si>
    <t>6022</t>
  </si>
  <si>
    <t>6100</t>
  </si>
  <si>
    <t>6320</t>
  </si>
  <si>
    <t>6324</t>
  </si>
  <si>
    <t>6400</t>
  </si>
  <si>
    <t>6060</t>
  </si>
  <si>
    <t>6600</t>
  </si>
  <si>
    <t>6650</t>
  </si>
  <si>
    <t>8603</t>
  </si>
  <si>
    <t>6430</t>
  </si>
  <si>
    <t>7300</t>
  </si>
  <si>
    <t>7310</t>
  </si>
  <si>
    <t>6640</t>
  </si>
  <si>
    <t>6700</t>
  </si>
  <si>
    <t>7800</t>
  </si>
  <si>
    <t>7810</t>
  </si>
  <si>
    <t>7840</t>
  </si>
  <si>
    <t>8370</t>
  </si>
  <si>
    <t>8800</t>
  </si>
  <si>
    <t>8608</t>
  </si>
  <si>
    <t>Міська цільова програма "Вікна" по встановлення нових енергозберігаючих вікон у бюджетних установах міста Запоріжжя на 2017-2020 роки</t>
  </si>
  <si>
    <t>1113401</t>
  </si>
  <si>
    <t>1113400</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</si>
  <si>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</si>
  <si>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Проведення навчально-тренувальних зборів і змагань з не олімпійських видів спорту</t>
  </si>
  <si>
    <t>Централізований бухгалтерський та фінансовий облік у сфері фізичної культури та спорту</t>
  </si>
  <si>
    <t>Програма розвитку та утримання житлово-комунального господарства м. Запоріжжя на 2016-2018 роки, затверджена рішенням міської ради від 25.12.2015  № 25 (зі змінами)</t>
  </si>
  <si>
    <t>Програма проведення капітального ремонту багатоквартирних житлових будинків житлово-будівельних кооперативів в м. Запоріжжя на 2016 рік, затверджена рішенням міської ради від 30.03.2016  № 16</t>
  </si>
  <si>
    <t>Інші видатки в сфері житлово-комунального господарства та фінансування заходів з дезінсекції та дератизації</t>
  </si>
  <si>
    <t xml:space="preserve">Програма "Фінансова підтримка комунального науково-виробничого підприємства "Екоцентр" на 2016 рік, затверджена рішенням від              № </t>
  </si>
  <si>
    <t>Керівництво і управління у сфері культури та мистецтва, туризму</t>
  </si>
  <si>
    <t>Організаційне, інформаційно-аналітичне та матеріально-технічне забезпечення діяльності міської ради та її виконавчого комітету</t>
  </si>
  <si>
    <t>Програма Громадський бюджет</t>
  </si>
  <si>
    <t>Міська цільова програма  забезпечення працездатності систем об'єктивного відеоспостереження у м.Запоріжжі, затверджена рішенням міської ради від 25.12.2015 № 5 (зі змінами)</t>
  </si>
  <si>
    <t>Міська цільова програма забезпечення членства Запорізької міської ради в Асоціаціях, затверджена рішенням міської ради від 25.12.2015  №  3 (зі змінами)</t>
  </si>
  <si>
    <t>Міська  програма  "Запорізька Муніципальна Інтегрована Система Обробки Інформації", затверджена рішенням міської ради від 30.06.2016 № 45 (зі змінами)</t>
  </si>
  <si>
    <t>Програма соціального захисту населення міста Запоріжжя "З теплом до людей" на 2016-2017 роки, затверджена рішенням міської ради від   28.09.2016 № 41</t>
  </si>
  <si>
    <t>Програма економічного і соціального розвитку м.Запоріжжя на 2017 рік, затверджена рішенням міської ради від 30.03.2016 № 5 (зі змінами)</t>
  </si>
  <si>
    <t>Проверка</t>
  </si>
  <si>
    <t>ПРОВЕРКА</t>
  </si>
  <si>
    <t>Інші заходи, пов'язані з економічною діяльністю (стратегія економічного розвитку )</t>
  </si>
  <si>
    <t>7317500</t>
  </si>
  <si>
    <t>Програма "Стратегія економічного розвитку"</t>
  </si>
  <si>
    <t xml:space="preserve">Програма "Фінансова підтримка комунального підприємства "Преса" на 2017 рік", затверджена рішенням міської ради від          № </t>
  </si>
  <si>
    <t>1115030</t>
  </si>
  <si>
    <t>1115031</t>
  </si>
  <si>
    <t>Розвиток дитячо-юнацького та резервного спорту</t>
  </si>
  <si>
    <t>1115040</t>
  </si>
  <si>
    <t>5031</t>
  </si>
  <si>
    <t>5030</t>
  </si>
  <si>
    <t>5040</t>
  </si>
  <si>
    <t>Підтримка і розвиток спортивної інфрастуртури</t>
  </si>
  <si>
    <t>1115041</t>
  </si>
  <si>
    <t>5041</t>
  </si>
  <si>
    <t>1115060</t>
  </si>
  <si>
    <t>5060</t>
  </si>
  <si>
    <t>1115062</t>
  </si>
  <si>
    <t>5062</t>
  </si>
  <si>
    <t>9419180</t>
  </si>
  <si>
    <t>9519180</t>
  </si>
  <si>
    <t>Міська цільова програма  організації та відзначення в м. Запоріжжя загальнодержавних, міських та районних свят, державних пам'ятних дат, та історичних подій на 2017 рік, затверджена рішенням міської ради від  21.12.2016 № 22</t>
  </si>
  <si>
    <t>Міська цільова програма надання автотранспортних та господарських послуг структурним підрозділам та виконавчому комітету міської ради, затверджена рішенням міської ради від 21.12.2016 № 16</t>
  </si>
  <si>
    <t>Міська  програма "Цифрова стратегія міста на 2017-2020 роки", затверджена рішенням міської ради від  21.12.2016 № 24</t>
  </si>
  <si>
    <t>Програма  використання коштів цільового фонду міської ради на 2017рік, затверджена рішенням міської ради від 21.12.2016  № 31</t>
  </si>
  <si>
    <t>Програма фінансування заходів з питань сім'ї та молоді на 2017 рік, затверджена рішенням міської ради від 21.12.2016 № 14</t>
  </si>
  <si>
    <t>Міська програма підтримки обдарованої молоді м. Запоріжжя, затверджена рішенням міської ради від 21.12.2016 № 14</t>
  </si>
  <si>
    <t>Програма "Розвитку первинної медико-санітарної допомоги міста Запоріжжя на 2017 рік", затверджена рішенням міської ради від 21.12.2016 № 12</t>
  </si>
  <si>
    <t>Програма розвитку туризму в місті Запоріжжі на 2017-2019 роки, затверджена рішенням міської ради від 21.12.2016 № 10</t>
  </si>
  <si>
    <t xml:space="preserve"> Програма фінансування деяких заходів щодо сприяння  розвитку малого та середнього підприємництва у місті Запоріжжі на 2017 рік, затверджена рішенням міської ради від 21.12.2016  №  35</t>
  </si>
  <si>
    <t>Програма проведення в м. Запоріжжі Покровського ярмарку з нагоди святкування Дня міста у 2017 році, затверджена рішенням міської ради від  21.12.2016 № 8</t>
  </si>
  <si>
    <t>Програма "Фінансова підтримка комунального підприємства "Преса" на 2017 рік", затверджена рішенням міської ради від 21.12.2016  № 38</t>
  </si>
  <si>
    <t>Програма відшкодування відсоткових ставок за залученими в кредитно-фінансових установах короткостроковими кредитами, що надаються об"єднанням співвласників багатоквартирних будинків та житлово-будівельним кооперативам на реалізацію енергозберігаючих та енергоефективних проектів в житлово-комунальному господарстві на 2017-2019 роки, затверджена рішенням міської ради від 21.12.2016  № 6</t>
  </si>
  <si>
    <t>Міська цільова програма "Безпечне місто Запоріжжя", затверджена рішенням від 21.12.2016 № 30</t>
  </si>
  <si>
    <t>Міська цільова програма запобігання і ліквідації надзвичайних ситуацій техногенного та природного характеру, організація рятування на водах на 2017-2019 роки, затверджена рішенням міської ради від 21.12.2016 № 36</t>
  </si>
  <si>
    <t>Програма підтримки діяльності органів самоорганізації населення міста Запоріжжя, затверджена рішенням міської ради від 21.12.2016 № 26</t>
  </si>
  <si>
    <t xml:space="preserve"> Програма "Фінансування заходів з дератизації відкритих стацій та дезінсекції анофелогенних водоймищ м. Запоріжжя ", затверджена рішенням міської ради від 21.12.2016 № 25</t>
  </si>
  <si>
    <t xml:space="preserve"> Програма "Сприяння органів місцевого самоврядування призову громадян  м. Запоріжжя ", затверджена рішенням міської ради від 21.12.2016  № 41</t>
  </si>
  <si>
    <t>Програма сприяння молодіжному руху "Молодь для міста" на 2017-2018 роки, затверджена рішенням міської ради від 21.12.2016  № 23</t>
  </si>
  <si>
    <t>Програма підтримки діяльності органів самоорганізації населення міста Запоріжжя, затверджена рішенням міської ради від 21.12.2016    № 26</t>
  </si>
  <si>
    <t>Програма підтримки діяльності органів самоорганізації населення міста Запоріжжя, затверджена рішенням міської ради від 21.12.2016   № 26</t>
  </si>
  <si>
    <t>Програма розвитку і функціонування української мови в м. Запоріжжя на  2016-2020 роки, затверджена рішенням міської ради від 30.11.2016 № 98</t>
  </si>
  <si>
    <t>Міська цільова Програма «ВІКНА» по заміні старих вікон на нові енергозберігаючі у бюджетних установах міста Запоріжжя на 2017- 2021 роки, затверджена рішенням міської ради від  30.11.2016 № 83</t>
  </si>
  <si>
    <t>Міська цільова програма розширення мережі філій Центру надання адміністративних послуг у м. Запоріжжі, затверджена рішенням міської ради від  26.10.2016 № 39</t>
  </si>
  <si>
    <t>0961</t>
  </si>
  <si>
    <t>4016050</t>
  </si>
  <si>
    <t>6050</t>
  </si>
  <si>
    <t>Фінансова підтримка обєктів комунального господарства</t>
  </si>
  <si>
    <t>4016051</t>
  </si>
  <si>
    <t>6051</t>
  </si>
  <si>
    <t>Забезпечення функціонування теплових мереж</t>
  </si>
  <si>
    <t>Програма  використання коштів цільового фонду міської ради на 2017рік, затверджена рішенням міської ради від 21.12.2016  № 31 (зі змінами)</t>
  </si>
  <si>
    <t>Програма розвитку та утримання житлово-комунального господарства м. Запоріжжя на 2017-2019 роки, затверджена рішенням міської ради від 21.12.2016  № 5  (зі змінами)</t>
  </si>
  <si>
    <t>Програма "Муніципальної аварійної служби та служби технічного обслуговування систем диспетчеризації ліфтів м. Запоріжжя на 2017-2019 роки", затверджена рішенням міської ради від 21.12.2016  № 60 (зі змінами)</t>
  </si>
  <si>
    <t>Програма "Про фінансування природоохоронних заходів за рахунок екологічних надходжень на 2017-2019 роки", затверджена рішенням міської ради від 21.12.2016 № 34 (зі змінами)</t>
  </si>
  <si>
    <t>7319110</t>
  </si>
  <si>
    <t>6519100</t>
  </si>
  <si>
    <t>6519110</t>
  </si>
  <si>
    <t>1113141</t>
  </si>
  <si>
    <t>3141</t>
  </si>
  <si>
    <t>1011070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</si>
  <si>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</si>
  <si>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Програма  розвитку інфраструктури та комплексного благоустрою міста Запоріжжя на 2017-2019 роки, затверджена рішенням міської ради від 21.12.2016  № 7 (зі змінами)</t>
  </si>
  <si>
    <t>0310180</t>
  </si>
  <si>
    <t>Керівництво і управління у сфері забезпечення діяльності міської ради та її виконавчого комітету</t>
  </si>
  <si>
    <t>0621</t>
  </si>
  <si>
    <t>Міська програма "Підтримка комунальних закладів культури міста Запоріжжя у  2016-2018 роках", затверджена рішенням міської ради від 25.12.2015  № 17 (зі змінами та доповненнями)</t>
  </si>
  <si>
    <t>Програма "Освіта на 2016-2018 роки", затверджена рішенням міської ради від 21.12.2016  № 39 (зі змінами)</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</si>
  <si>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</si>
  <si>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Програма "Забезпечення дитячих будинків сімейного типу необхідними меблями, побутовою технікою та іншими предметами тривалого вжитку на 2016 -2018 роки", затверджена рішенням міської ради від   25.08.2016    № 33 (зі змінами)</t>
  </si>
  <si>
    <t>Підтримка спорту вищих досягнень та організацій, які здійснюють фізкультурно-спортивну діяльність в регіоні</t>
  </si>
  <si>
    <t>Інші заходи з розвитку фізичної культури та спорту</t>
  </si>
  <si>
    <t>Програма "Оздоровлення та відпочинок на 2016-2018 роки", затверджена рішенням міської ради від 21.12.2016 № 39 (зі змінами)</t>
  </si>
  <si>
    <t>Підготовка робітничих кадрів професійно-технічними закладами та іншими закладами освіти</t>
  </si>
  <si>
    <t>Програма "Професійно-технічна освіта на 2016-2018 роки", затверджена рішенням міської ради від 21.12.2016  № 39 (зі змінами)</t>
  </si>
  <si>
    <t>Здійснення заходів  та реалізація проектів на виконання Державної цільової соціальної програми "Молодь України"</t>
  </si>
  <si>
    <t>Програма фінансування заходів з питань сім'ї та молоді на 2017 рік, затверджена рішенням міської ради від 21.12.2016 № 14 (зі змінами)</t>
  </si>
  <si>
    <t xml:space="preserve">Програма розвитку та утримання житлово-комунального господарства м. Запоріжжя на 2017-2019 роки, затверджена рішенням міської ради від 21.12.2016  № 5  (зі змінами) </t>
  </si>
  <si>
    <t>Міська цільова програма "Фінансова підтримка комунального підприємства "Муніципальна телевізійна мережа" (Телеканал "Z")", затверджена рішенням міської ради від 25.12.2015 № 12 (зі змінами)</t>
  </si>
  <si>
    <t>Міська програма підтримки обдарованої молоді м. Запоріжжя, затверджена рішенням міської ради від 21.12.2016 № 14 (зі змінами)</t>
  </si>
  <si>
    <t>Програма підтримки муніципального рейтингу, затверджена рішенням міської ради від 26.02.2016  № 23 (зі змінами)</t>
  </si>
  <si>
    <t>Міська програма надання шефської допомоги військовим комісаріатам, військовим частинам Збройних Сил України і Національної гвардії України та покращення матеріально-технічного стану органів Національної поліції України, Служби безпеки України на 2017 рік, затверджена рішенням міської ради від 29.03.2017  № 57</t>
  </si>
  <si>
    <t>2910180</t>
  </si>
  <si>
    <t>Керівництво і управління у сфері архівної справи і діловодства</t>
  </si>
  <si>
    <t>Архівне управління Запорізької міської ради</t>
  </si>
  <si>
    <t>29</t>
  </si>
  <si>
    <t>2910100</t>
  </si>
  <si>
    <t>Програма економічного і соціального розвитку м.Запоріжжя на 2017 рік, затверджена рішенням міської ради від 21.12.2016  № 47 (зі змінами)</t>
  </si>
  <si>
    <t>2419100</t>
  </si>
  <si>
    <t>2419180</t>
  </si>
  <si>
    <t xml:space="preserve">Програма розвитку і функціонування української мови в м. Запоріжжя на  2016-2020 роки, затверджена рішенням міської ради від 30.11.2016 № 98 </t>
  </si>
  <si>
    <t>Програма використання коштів депутатського фонду у 2017 році, затверджена рішенням міської ради від 21.12.2016  № 27 (зі змінами)</t>
  </si>
  <si>
    <t>6800</t>
  </si>
  <si>
    <t>6516800</t>
  </si>
  <si>
    <t xml:space="preserve">Інші заходи у сфері автомобільного транспорту </t>
  </si>
  <si>
    <t>0451</t>
  </si>
  <si>
    <t>9316650</t>
  </si>
  <si>
    <t>9619110</t>
  </si>
  <si>
    <t>5017400</t>
  </si>
  <si>
    <t>50117470</t>
  </si>
  <si>
    <r>
      <t xml:space="preserve">Програма  поводження з тваринами м. Запоріжжя на період 2017-2022 роки, затверджена рішенням міської ради від </t>
    </r>
    <r>
      <rPr>
        <sz val="12"/>
        <color indexed="10"/>
        <rFont val="Times New Roman"/>
        <family val="1"/>
      </rPr>
      <t>31.05.2017 №</t>
    </r>
  </si>
  <si>
    <t>6130</t>
  </si>
  <si>
    <t>5016130</t>
  </si>
  <si>
    <t>5016000</t>
  </si>
  <si>
    <t>Забезпечення функціонування комбінвтів комунальних підприємств, районних виборчих обєднань та інших підприємств, установ та організацій житлово-клмунального господарства</t>
  </si>
  <si>
    <t>9316600</t>
  </si>
  <si>
    <t>Інші заходи у сфері автомобільного транспорту</t>
  </si>
  <si>
    <t>1513180</t>
  </si>
  <si>
    <t>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</si>
  <si>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</si>
  <si>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1513181</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</si>
  <si>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</si>
  <si>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</si>
  <si>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Забезпечення соціальними послугами громадян похилого віку</t>
  </si>
  <si>
    <t>1118100</t>
  </si>
  <si>
    <t>Програма  поводження з тваринами м. Запоріжжя на період 2017-2022 роки, затверджена рішенням міської ради від 26.04.2017 № 33</t>
  </si>
  <si>
    <r>
      <t>Програма  поводження з тваринами м. Запоріжжя на період 2017-2022 роки, затверджена рішенням міської ради від</t>
    </r>
    <r>
      <rPr>
        <b/>
        <sz val="12"/>
        <rFont val="Times New Roman"/>
        <family val="1"/>
      </rPr>
      <t xml:space="preserve"> </t>
    </r>
    <r>
      <rPr>
        <sz val="12"/>
        <rFont val="Times New Roman"/>
        <family val="1"/>
      </rPr>
      <t>26.04.2017 № 33</t>
    </r>
  </si>
  <si>
    <t>21.06.2017 №42</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</si>
</sst>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00"/>
    <numFmt numFmtId="197" formatCode="0.0000"/>
    <numFmt numFmtId="198" formatCode="0.0"/>
    <numFmt numFmtId="199" formatCode="0.00000000"/>
    <numFmt numFmtId="200" formatCode="0.0000000"/>
    <numFmt numFmtId="201" formatCode="0.000000"/>
    <numFmt numFmtId="202" formatCode="0.000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FC19]d\ mmmm\ yyyy\ &quot;г.&quot;"/>
    <numFmt numFmtId="208" formatCode="000000"/>
    <numFmt numFmtId="209" formatCode="#,##0.000"/>
  </numFmts>
  <fonts count="108">
    <font>
      <sz val="10"/>
      <name val="Arial"/>
      <family val="0"/>
    </font>
    <font>
      <sz val="12"/>
      <name val="Times New Roman"/>
      <family val="1"/>
    </font>
    <font>
      <b/>
      <sz val="12"/>
      <name val="Times New Roman"/>
      <family val="1"/>
    </font>
    <font>
      <sz val="18"/>
      <name val="Times New Roman"/>
      <family val="1"/>
    </font>
    <font>
      <u val="single"/>
      <sz val="6"/>
      <color indexed="12"/>
      <name val="Arial"/>
      <family val="2"/>
    </font>
    <font>
      <u val="single"/>
      <sz val="6"/>
      <color indexed="36"/>
      <name val="Arial"/>
      <family val="2"/>
    </font>
    <font>
      <sz val="8"/>
      <name val="Times New Roman"/>
      <family val="1"/>
    </font>
    <font>
      <sz val="16"/>
      <name val="Arial Cyr"/>
      <family val="0"/>
    </font>
    <font>
      <sz val="10"/>
      <name val="Arial Cyr"/>
      <family val="0"/>
    </font>
    <font>
      <sz val="20"/>
      <name val="Times New Roman"/>
      <family val="1"/>
    </font>
    <font>
      <sz val="22"/>
      <name val="Times New Roman"/>
      <family val="1"/>
    </font>
    <font>
      <sz val="12"/>
      <color indexed="61"/>
      <name val="Times New Roman"/>
      <family val="1"/>
    </font>
    <font>
      <u val="single"/>
      <sz val="12"/>
      <name val="Times New Roman"/>
      <family val="1"/>
    </font>
    <font>
      <sz val="12"/>
      <color indexed="12"/>
      <name val="Times New Roman"/>
      <family val="1"/>
    </font>
    <font>
      <sz val="11"/>
      <name val="Times New Roman"/>
      <family val="1"/>
    </font>
    <font>
      <sz val="14"/>
      <name val="Times New Roman"/>
      <family val="1"/>
    </font>
    <font>
      <sz val="12"/>
      <name val="Arial"/>
      <family val="2"/>
    </font>
    <font>
      <b/>
      <sz val="14"/>
      <name val="Times New Roman"/>
      <family val="1"/>
    </font>
    <font>
      <sz val="12"/>
      <color indexed="10"/>
      <name val="Times New Roman"/>
      <family val="1"/>
    </font>
    <font>
      <b/>
      <sz val="22"/>
      <name val="Times New Roman"/>
      <family val="1"/>
    </font>
    <font>
      <sz val="24"/>
      <name val="Times New Roman"/>
      <family val="1"/>
    </font>
    <font>
      <sz val="12"/>
      <color indexed="56"/>
      <name val="Times New Roman"/>
      <family val="1"/>
    </font>
    <font>
      <sz val="12"/>
      <color indexed="14"/>
      <name val="Times New Roman"/>
      <family val="1"/>
    </font>
    <font>
      <sz val="12"/>
      <color indexed="18"/>
      <name val="Times New Roman"/>
      <family val="1"/>
    </font>
    <font>
      <sz val="12"/>
      <color indexed="62"/>
      <name val="Times New Roman"/>
      <family val="1"/>
    </font>
    <font>
      <sz val="8"/>
      <name val="Arial"/>
      <family val="2"/>
    </font>
    <font>
      <sz val="12"/>
      <color indexed="30"/>
      <name val="Times New Roman"/>
      <family val="1"/>
    </font>
    <font>
      <b/>
      <sz val="11"/>
      <name val="Times New Roman"/>
      <family val="1"/>
    </font>
    <font>
      <b/>
      <sz val="12"/>
      <color indexed="56"/>
      <name val="Times New Roman"/>
      <family val="1"/>
    </font>
    <font>
      <sz val="14"/>
      <color indexed="10"/>
      <name val="Times New Roman"/>
      <family val="1"/>
    </font>
    <font>
      <b/>
      <sz val="12"/>
      <color indexed="17"/>
      <name val="Times New Roman"/>
      <family val="1"/>
    </font>
    <font>
      <b/>
      <sz val="14"/>
      <color indexed="10"/>
      <name val="Times New Roman"/>
      <family val="1"/>
    </font>
    <font>
      <sz val="12"/>
      <color indexed="17"/>
      <name val="Times New Roman"/>
      <family val="1"/>
    </font>
    <font>
      <sz val="18"/>
      <name val="Arial Cyr"/>
      <family val="0"/>
    </font>
    <font>
      <b/>
      <sz val="18"/>
      <name val="Arial Cyr"/>
      <family val="0"/>
    </font>
    <font>
      <sz val="20"/>
      <name val="Arial"/>
      <family val="2"/>
    </font>
    <font>
      <b/>
      <sz val="14"/>
      <color indexed="17"/>
      <name val="Times New Roman"/>
      <family val="1"/>
    </font>
    <font>
      <b/>
      <sz val="12"/>
      <color indexed="10"/>
      <name val="Times New Roman"/>
      <family val="1"/>
    </font>
    <font>
      <sz val="25"/>
      <name val="Times New Roman"/>
      <family val="1"/>
    </font>
    <font>
      <sz val="10"/>
      <color indexed="10"/>
      <name val="Arial Cyr"/>
      <family val="0"/>
    </font>
    <font>
      <b/>
      <sz val="16"/>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40"/>
      <name val="Times New Roman"/>
      <family val="1"/>
    </font>
    <font>
      <b/>
      <sz val="12"/>
      <color indexed="30"/>
      <name val="Times New Roman"/>
      <family val="1"/>
    </font>
    <font>
      <b/>
      <sz val="12"/>
      <color indexed="9"/>
      <name val="Times New Roman"/>
      <family val="1"/>
    </font>
    <font>
      <sz val="12"/>
      <color indexed="9"/>
      <name val="Times New Roman"/>
      <family val="1"/>
    </font>
    <font>
      <b/>
      <sz val="14"/>
      <color indexed="8"/>
      <name val="Times New Roman"/>
      <family val="1"/>
    </font>
    <font>
      <sz val="10"/>
      <color indexed="56"/>
      <name val="Arial Cyr"/>
      <family val="0"/>
    </font>
    <font>
      <sz val="12"/>
      <color indexed="60"/>
      <name val="Times New Roman"/>
      <family val="1"/>
    </font>
    <font>
      <sz val="12"/>
      <color indexed="8"/>
      <name val="Times New Roman"/>
      <family val="1"/>
    </font>
    <font>
      <b/>
      <sz val="12"/>
      <color indexed="40"/>
      <name val="Times New Roman"/>
      <family val="1"/>
    </font>
    <font>
      <sz val="10"/>
      <color indexed="60"/>
      <name val="Arial"/>
      <family val="2"/>
    </font>
    <font>
      <b/>
      <sz val="12"/>
      <color indexed="8"/>
      <name val="Times New Roman"/>
      <family val="1"/>
    </font>
    <font>
      <sz val="8"/>
      <name val="Segoe UI"/>
      <family val="2"/>
    </font>
    <font>
      <b/>
      <u val="single"/>
      <sz val="2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70C0"/>
      <name val="Times New Roman"/>
      <family val="1"/>
    </font>
    <font>
      <b/>
      <sz val="14"/>
      <color rgb="FF00B0F0"/>
      <name val="Times New Roman"/>
      <family val="1"/>
    </font>
    <font>
      <b/>
      <sz val="12"/>
      <color rgb="FF0070C0"/>
      <name val="Times New Roman"/>
      <family val="1"/>
    </font>
    <font>
      <b/>
      <sz val="12"/>
      <color rgb="FF006600"/>
      <name val="Times New Roman"/>
      <family val="1"/>
    </font>
    <font>
      <sz val="12"/>
      <color rgb="FF006600"/>
      <name val="Times New Roman"/>
      <family val="1"/>
    </font>
    <font>
      <b/>
      <sz val="12"/>
      <color rgb="FFFF0000"/>
      <name val="Times New Roman"/>
      <family val="1"/>
    </font>
    <font>
      <sz val="12"/>
      <color rgb="FFFF0000"/>
      <name val="Times New Roman"/>
      <family val="1"/>
    </font>
    <font>
      <b/>
      <sz val="12"/>
      <color theme="0"/>
      <name val="Times New Roman"/>
      <family val="1"/>
    </font>
    <font>
      <sz val="12"/>
      <color theme="0"/>
      <name val="Times New Roman"/>
      <family val="1"/>
    </font>
    <font>
      <b/>
      <sz val="14"/>
      <color theme="1"/>
      <name val="Times New Roman"/>
      <family val="1"/>
    </font>
    <font>
      <sz val="10"/>
      <color rgb="FF002060"/>
      <name val="Arial Cyr"/>
      <family val="0"/>
    </font>
    <font>
      <sz val="12"/>
      <color theme="3" tint="-0.24997000396251678"/>
      <name val="Times New Roman"/>
      <family val="1"/>
    </font>
    <font>
      <sz val="12"/>
      <color theme="5" tint="-0.24997000396251678"/>
      <name val="Times New Roman"/>
      <family val="1"/>
    </font>
    <font>
      <sz val="12"/>
      <color rgb="FF008000"/>
      <name val="Times New Roman"/>
      <family val="1"/>
    </font>
    <font>
      <sz val="12"/>
      <color theme="1"/>
      <name val="Times New Roman"/>
      <family val="1"/>
    </font>
    <font>
      <b/>
      <sz val="12"/>
      <color rgb="FF00B0F0"/>
      <name val="Times New Roman"/>
      <family val="1"/>
    </font>
    <font>
      <sz val="12"/>
      <color rgb="FF002060"/>
      <name val="Times New Roman"/>
      <family val="1"/>
    </font>
    <font>
      <sz val="10"/>
      <color theme="5" tint="-0.24997000396251678"/>
      <name val="Arial"/>
      <family val="2"/>
    </font>
    <font>
      <b/>
      <sz val="12"/>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color indexed="9"/>
      </top>
      <bottom style="thin">
        <color indexed="9"/>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32" borderId="0" applyNumberFormat="0" applyBorder="0" applyAlignment="0" applyProtection="0"/>
  </cellStyleXfs>
  <cellXfs count="468">
    <xf numFmtId="0" fontId="0" fillId="0" borderId="0" xfId="0" applyAlignment="1">
      <alignment/>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right" vertical="center" wrapText="1"/>
    </xf>
    <xf numFmtId="0" fontId="3" fillId="0" borderId="0" xfId="0" applyFont="1" applyAlignment="1">
      <alignment wrapText="1"/>
    </xf>
    <xf numFmtId="0" fontId="1" fillId="0" borderId="0" xfId="0" applyFont="1" applyAlignment="1">
      <alignment horizontal="right" wrapText="1"/>
    </xf>
    <xf numFmtId="0" fontId="1" fillId="0" borderId="0" xfId="0" applyFont="1" applyBorder="1" applyAlignment="1">
      <alignment horizontal="center" vertical="center" wrapText="1"/>
    </xf>
    <xf numFmtId="0" fontId="1" fillId="0" borderId="10" xfId="0" applyFont="1" applyFill="1" applyBorder="1" applyAlignment="1">
      <alignment vertical="center" wrapText="1"/>
    </xf>
    <xf numFmtId="1" fontId="1" fillId="0" borderId="0" xfId="0" applyNumberFormat="1" applyFont="1" applyAlignment="1">
      <alignment wrapText="1"/>
    </xf>
    <xf numFmtId="0" fontId="7" fillId="0" borderId="0" xfId="0" applyFont="1" applyAlignment="1">
      <alignment/>
    </xf>
    <xf numFmtId="1" fontId="1" fillId="0" borderId="10" xfId="0" applyNumberFormat="1" applyFont="1" applyFill="1" applyBorder="1" applyAlignment="1">
      <alignment vertical="center"/>
    </xf>
    <xf numFmtId="0" fontId="9" fillId="0" borderId="0" xfId="0" applyFont="1" applyAlignment="1">
      <alignment/>
    </xf>
    <xf numFmtId="0" fontId="10" fillId="0" borderId="0" xfId="0" applyFont="1" applyAlignment="1">
      <alignment/>
    </xf>
    <xf numFmtId="0" fontId="1" fillId="0" borderId="10" xfId="0" applyFont="1" applyFill="1" applyBorder="1" applyAlignment="1">
      <alignment horizontal="right" vertical="center"/>
    </xf>
    <xf numFmtId="0" fontId="1" fillId="0" borderId="10" xfId="0" applyFont="1" applyFill="1" applyBorder="1" applyAlignment="1">
      <alignment vertical="center"/>
    </xf>
    <xf numFmtId="1" fontId="1"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vertical="center" wrapText="1"/>
    </xf>
    <xf numFmtId="0" fontId="1" fillId="0" borderId="0" xfId="0" applyFont="1" applyFill="1" applyAlignment="1">
      <alignment horizontal="center" vertical="center" wrapText="1"/>
    </xf>
    <xf numFmtId="1" fontId="1" fillId="0" borderId="10" xfId="0" applyNumberFormat="1" applyFont="1" applyFill="1" applyBorder="1" applyAlignment="1">
      <alignment horizontal="right"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0" xfId="0" applyNumberFormat="1" applyFont="1" applyFill="1" applyBorder="1" applyAlignment="1">
      <alignment horizontal="right"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2" fillId="0" borderId="10" xfId="0" applyFont="1" applyFill="1" applyBorder="1" applyAlignment="1">
      <alignment vertical="center" wrapText="1"/>
    </xf>
    <xf numFmtId="1" fontId="2" fillId="0" borderId="10" xfId="0" applyNumberFormat="1" applyFont="1" applyFill="1" applyBorder="1" applyAlignment="1">
      <alignment vertical="center" wrapText="1"/>
    </xf>
    <xf numFmtId="0" fontId="0" fillId="0" borderId="10" xfId="0" applyFont="1" applyFill="1" applyBorder="1" applyAlignment="1">
      <alignment wrapText="1"/>
    </xf>
    <xf numFmtId="1" fontId="2" fillId="0" borderId="10" xfId="0" applyNumberFormat="1" applyFont="1" applyFill="1" applyBorder="1" applyAlignment="1">
      <alignment vertical="center"/>
    </xf>
    <xf numFmtId="196" fontId="1" fillId="0" borderId="10" xfId="0" applyNumberFormat="1" applyFont="1" applyFill="1" applyBorder="1" applyAlignment="1">
      <alignment vertical="center"/>
    </xf>
    <xf numFmtId="0" fontId="2" fillId="0" borderId="10" xfId="0" applyFont="1" applyFill="1" applyBorder="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vertical="center" wrapText="1"/>
    </xf>
    <xf numFmtId="0" fontId="11" fillId="0" borderId="10" xfId="0" applyFont="1" applyFill="1" applyBorder="1" applyAlignment="1">
      <alignment horizontal="center" vertical="center" wrapText="1"/>
    </xf>
    <xf numFmtId="1" fontId="11" fillId="0" borderId="10" xfId="0" applyNumberFormat="1" applyFont="1" applyFill="1" applyBorder="1" applyAlignment="1">
      <alignment vertical="center" wrapText="1"/>
    </xf>
    <xf numFmtId="0" fontId="11" fillId="0" borderId="10" xfId="0" applyFont="1" applyFill="1" applyBorder="1" applyAlignment="1">
      <alignment vertical="center" wrapText="1"/>
    </xf>
    <xf numFmtId="1" fontId="11" fillId="0" borderId="10" xfId="0" applyNumberFormat="1" applyFont="1" applyFill="1" applyBorder="1" applyAlignment="1">
      <alignment horizontal="right" vertical="center" wrapText="1"/>
    </xf>
    <xf numFmtId="0" fontId="11" fillId="0" borderId="10" xfId="0" applyFont="1" applyFill="1" applyBorder="1" applyAlignment="1">
      <alignment horizontal="right" vertical="center" wrapText="1"/>
    </xf>
    <xf numFmtId="0" fontId="1" fillId="0" borderId="10" xfId="0" applyFont="1" applyFill="1" applyBorder="1" applyAlignment="1">
      <alignment wrapText="1"/>
    </xf>
    <xf numFmtId="1" fontId="12" fillId="0" borderId="10" xfId="0" applyNumberFormat="1" applyFont="1" applyBorder="1" applyAlignment="1">
      <alignment wrapText="1"/>
    </xf>
    <xf numFmtId="0" fontId="12" fillId="0" borderId="10" xfId="0" applyFont="1" applyBorder="1" applyAlignment="1">
      <alignment wrapText="1"/>
    </xf>
    <xf numFmtId="0" fontId="13" fillId="0" borderId="0" xfId="0" applyFont="1" applyAlignment="1">
      <alignment wrapText="1"/>
    </xf>
    <xf numFmtId="1" fontId="13" fillId="0" borderId="0" xfId="0" applyNumberFormat="1" applyFont="1" applyAlignment="1">
      <alignment wrapText="1"/>
    </xf>
    <xf numFmtId="1" fontId="1" fillId="0" borderId="0" xfId="0" applyNumberFormat="1" applyFont="1" applyFill="1" applyAlignment="1">
      <alignment vertical="center" wrapText="1"/>
    </xf>
    <xf numFmtId="1" fontId="1" fillId="0" borderId="0" xfId="0" applyNumberFormat="1" applyFont="1" applyAlignment="1">
      <alignment horizontal="center" vertical="center" wrapText="1"/>
    </xf>
    <xf numFmtId="1" fontId="1" fillId="0" borderId="0" xfId="0" applyNumberFormat="1" applyFont="1" applyFill="1" applyAlignment="1">
      <alignment horizontal="center" vertical="center" wrapText="1"/>
    </xf>
    <xf numFmtId="1" fontId="2" fillId="0" borderId="0" xfId="0" applyNumberFormat="1" applyFont="1"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1" fillId="33" borderId="0" xfId="0" applyFont="1" applyFill="1" applyAlignment="1">
      <alignment horizontal="center" vertical="center" wrapText="1"/>
    </xf>
    <xf numFmtId="1" fontId="1" fillId="33" borderId="0" xfId="0" applyNumberFormat="1" applyFont="1" applyFill="1" applyAlignment="1">
      <alignment horizontal="center" vertical="center" wrapText="1"/>
    </xf>
    <xf numFmtId="0" fontId="1" fillId="34" borderId="0" xfId="0" applyFont="1" applyFill="1" applyAlignment="1">
      <alignment horizontal="center" vertical="center" wrapText="1"/>
    </xf>
    <xf numFmtId="0" fontId="20" fillId="0" borderId="0" xfId="0" applyFont="1" applyAlignment="1">
      <alignment/>
    </xf>
    <xf numFmtId="0" fontId="18" fillId="0" borderId="10" xfId="0" applyFont="1" applyFill="1" applyBorder="1" applyAlignment="1">
      <alignment horizontal="center" vertical="center" wrapText="1"/>
    </xf>
    <xf numFmtId="1" fontId="18" fillId="0" borderId="10" xfId="0" applyNumberFormat="1" applyFont="1" applyFill="1" applyBorder="1" applyAlignment="1">
      <alignment vertical="center" wrapText="1"/>
    </xf>
    <xf numFmtId="0" fontId="10" fillId="0" borderId="0" xfId="0" applyFont="1" applyAlignment="1">
      <alignment/>
    </xf>
    <xf numFmtId="0" fontId="21" fillId="0" borderId="10" xfId="0" applyFont="1" applyFill="1" applyBorder="1" applyAlignment="1">
      <alignment horizontal="center" vertical="center" wrapText="1"/>
    </xf>
    <xf numFmtId="1" fontId="22" fillId="0" borderId="10" xfId="0" applyNumberFormat="1" applyFont="1" applyFill="1" applyBorder="1" applyAlignment="1">
      <alignment vertical="center" wrapText="1"/>
    </xf>
    <xf numFmtId="0" fontId="23"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1" fontId="24" fillId="0" borderId="10" xfId="0" applyNumberFormat="1" applyFont="1" applyFill="1" applyBorder="1" applyAlignment="1">
      <alignment horizontal="right" vertical="center" wrapText="1"/>
    </xf>
    <xf numFmtId="0" fontId="1" fillId="0" borderId="0" xfId="0" applyFont="1" applyFill="1" applyAlignment="1">
      <alignment wrapText="1"/>
    </xf>
    <xf numFmtId="0" fontId="6" fillId="0" borderId="10" xfId="0" applyFont="1" applyFill="1" applyBorder="1" applyAlignment="1">
      <alignment horizontal="center" vertical="center" wrapText="1"/>
    </xf>
    <xf numFmtId="0" fontId="1" fillId="0" borderId="0" xfId="0" applyFont="1" applyFill="1" applyAlignment="1">
      <alignment horizontal="center" wrapText="1"/>
    </xf>
    <xf numFmtId="0" fontId="20" fillId="0" borderId="0" xfId="0" applyFont="1" applyFill="1" applyAlignment="1">
      <alignment wrapText="1"/>
    </xf>
    <xf numFmtId="196" fontId="20" fillId="0" borderId="0" xfId="0" applyNumberFormat="1" applyFont="1" applyFill="1" applyBorder="1" applyAlignment="1">
      <alignment/>
    </xf>
    <xf numFmtId="0" fontId="1" fillId="0" borderId="0" xfId="0" applyFont="1" applyFill="1" applyAlignment="1">
      <alignment horizontal="right" wrapText="1"/>
    </xf>
    <xf numFmtId="1" fontId="17" fillId="0" borderId="0" xfId="0" applyNumberFormat="1" applyFont="1" applyFill="1" applyAlignment="1">
      <alignment horizontal="center" vertical="center" wrapText="1"/>
    </xf>
    <xf numFmtId="0" fontId="18"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8" fillId="33" borderId="0" xfId="0" applyNumberFormat="1" applyFont="1" applyFill="1" applyAlignment="1">
      <alignment horizontal="center" vertical="center" wrapText="1"/>
    </xf>
    <xf numFmtId="1" fontId="15" fillId="0" borderId="10" xfId="0" applyNumberFormat="1" applyFont="1" applyFill="1" applyBorder="1" applyAlignment="1">
      <alignment horizontal="center" vertical="center" wrapText="1"/>
    </xf>
    <xf numFmtId="1" fontId="2" fillId="0" borderId="10" xfId="0" applyNumberFormat="1" applyFont="1" applyFill="1" applyBorder="1" applyAlignment="1">
      <alignment horizontal="center" vertical="center" wrapText="1"/>
    </xf>
    <xf numFmtId="1" fontId="1" fillId="35" borderId="10" xfId="0" applyNumberFormat="1" applyFont="1" applyFill="1" applyBorder="1" applyAlignment="1">
      <alignment vertical="center" wrapText="1"/>
    </xf>
    <xf numFmtId="1" fontId="15" fillId="35" borderId="10" xfId="0" applyNumberFormat="1" applyFont="1" applyFill="1" applyBorder="1" applyAlignment="1">
      <alignment wrapText="1"/>
    </xf>
    <xf numFmtId="0" fontId="17" fillId="35" borderId="0" xfId="0" applyFont="1" applyFill="1" applyAlignment="1">
      <alignment wrapText="1"/>
    </xf>
    <xf numFmtId="0" fontId="17" fillId="35" borderId="10" xfId="0" applyFont="1" applyFill="1" applyBorder="1" applyAlignment="1">
      <alignment horizontal="left" wrapText="1"/>
    </xf>
    <xf numFmtId="0" fontId="17" fillId="35" borderId="0" xfId="0" applyFont="1" applyFill="1" applyBorder="1" applyAlignment="1">
      <alignment wrapText="1"/>
    </xf>
    <xf numFmtId="1" fontId="1" fillId="35" borderId="10" xfId="0" applyNumberFormat="1" applyFont="1" applyFill="1" applyBorder="1" applyAlignment="1">
      <alignment horizontal="right" vertical="center" wrapText="1"/>
    </xf>
    <xf numFmtId="1" fontId="11" fillId="35" borderId="10" xfId="0" applyNumberFormat="1" applyFont="1" applyFill="1" applyBorder="1" applyAlignment="1">
      <alignment vertical="center" wrapText="1"/>
    </xf>
    <xf numFmtId="1" fontId="26" fillId="35" borderId="10" xfId="0" applyNumberFormat="1" applyFont="1" applyFill="1" applyBorder="1" applyAlignment="1">
      <alignment vertical="center" wrapText="1"/>
    </xf>
    <xf numFmtId="1" fontId="2" fillId="35" borderId="10" xfId="0" applyNumberFormat="1" applyFont="1" applyFill="1" applyBorder="1" applyAlignment="1">
      <alignment vertical="center" wrapText="1"/>
    </xf>
    <xf numFmtId="0" fontId="26" fillId="35" borderId="10" xfId="0" applyFont="1" applyFill="1" applyBorder="1" applyAlignment="1">
      <alignment vertical="center" wrapText="1"/>
    </xf>
    <xf numFmtId="1" fontId="1" fillId="35" borderId="10" xfId="0" applyNumberFormat="1" applyFont="1" applyFill="1" applyBorder="1" applyAlignment="1">
      <alignment horizontal="center" vertical="center" wrapText="1"/>
    </xf>
    <xf numFmtId="1" fontId="89" fillId="35" borderId="10" xfId="0" applyNumberFormat="1" applyFont="1" applyFill="1" applyBorder="1" applyAlignment="1">
      <alignment vertical="center" wrapText="1"/>
    </xf>
    <xf numFmtId="0" fontId="1" fillId="35" borderId="10" xfId="0" applyFont="1" applyFill="1" applyBorder="1" applyAlignment="1">
      <alignment wrapText="1"/>
    </xf>
    <xf numFmtId="1" fontId="1" fillId="35" borderId="10" xfId="0" applyNumberFormat="1" applyFont="1" applyFill="1" applyBorder="1" applyAlignment="1">
      <alignment wrapText="1"/>
    </xf>
    <xf numFmtId="1" fontId="29" fillId="35" borderId="10" xfId="0" applyNumberFormat="1" applyFont="1" applyFill="1" applyBorder="1" applyAlignment="1">
      <alignment wrapText="1"/>
    </xf>
    <xf numFmtId="0" fontId="30" fillId="35" borderId="10" xfId="0" applyFont="1" applyFill="1" applyBorder="1" applyAlignment="1">
      <alignment wrapText="1"/>
    </xf>
    <xf numFmtId="1" fontId="30" fillId="35" borderId="10" xfId="0" applyNumberFormat="1" applyFont="1" applyFill="1" applyBorder="1" applyAlignment="1">
      <alignment wrapText="1"/>
    </xf>
    <xf numFmtId="0" fontId="15" fillId="35" borderId="10" xfId="0" applyFont="1" applyFill="1" applyBorder="1" applyAlignment="1">
      <alignment wrapText="1"/>
    </xf>
    <xf numFmtId="0" fontId="36" fillId="35" borderId="10" xfId="0" applyFont="1" applyFill="1" applyBorder="1" applyAlignment="1">
      <alignment wrapText="1"/>
    </xf>
    <xf numFmtId="0" fontId="1" fillId="35" borderId="0" xfId="0" applyFont="1" applyFill="1" applyAlignment="1">
      <alignment wrapText="1"/>
    </xf>
    <xf numFmtId="1" fontId="90" fillId="35" borderId="10" xfId="0" applyNumberFormat="1" applyFont="1" applyFill="1" applyBorder="1" applyAlignment="1">
      <alignment wrapText="1"/>
    </xf>
    <xf numFmtId="49" fontId="2" fillId="35" borderId="11" xfId="0" applyNumberFormat="1" applyFont="1" applyFill="1" applyBorder="1" applyAlignment="1">
      <alignment horizontal="center" vertical="center" wrapText="1"/>
    </xf>
    <xf numFmtId="0" fontId="11" fillId="35" borderId="10" xfId="0" applyFont="1" applyFill="1" applyBorder="1" applyAlignment="1">
      <alignment horizontal="center" vertical="center" wrapText="1"/>
    </xf>
    <xf numFmtId="49"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6"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xf>
    <xf numFmtId="49"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1" fillId="35" borderId="0" xfId="0" applyFont="1" applyFill="1" applyAlignment="1">
      <alignment horizontal="center" vertical="center" wrapText="1"/>
    </xf>
    <xf numFmtId="0" fontId="89" fillId="35" borderId="13" xfId="0" applyFont="1" applyFill="1" applyBorder="1" applyAlignment="1">
      <alignment horizontal="center" vertical="center" wrapText="1"/>
    </xf>
    <xf numFmtId="0" fontId="2" fillId="35" borderId="0" xfId="0" applyFont="1" applyFill="1" applyAlignment="1">
      <alignment horizontal="center" vertical="center" wrapText="1"/>
    </xf>
    <xf numFmtId="0" fontId="2" fillId="35" borderId="0" xfId="0" applyFont="1" applyFill="1" applyAlignment="1">
      <alignment wrapText="1"/>
    </xf>
    <xf numFmtId="0" fontId="1" fillId="35" borderId="0" xfId="0" applyFont="1" applyFill="1" applyBorder="1" applyAlignment="1">
      <alignment wrapText="1"/>
    </xf>
    <xf numFmtId="0" fontId="27" fillId="35" borderId="0" xfId="0" applyFont="1" applyFill="1" applyAlignment="1">
      <alignment wrapText="1"/>
    </xf>
    <xf numFmtId="0" fontId="3" fillId="35" borderId="0" xfId="0" applyFont="1" applyFill="1" applyAlignment="1">
      <alignment wrapText="1"/>
    </xf>
    <xf numFmtId="0" fontId="3" fillId="35" borderId="0" xfId="0" applyFont="1" applyFill="1" applyBorder="1" applyAlignment="1">
      <alignment wrapText="1"/>
    </xf>
    <xf numFmtId="0" fontId="6" fillId="35" borderId="10" xfId="0" applyFont="1" applyFill="1" applyBorder="1" applyAlignment="1">
      <alignment horizontal="center" vertical="center" wrapText="1"/>
    </xf>
    <xf numFmtId="1" fontId="2" fillId="35" borderId="0" xfId="0" applyNumberFormat="1" applyFont="1" applyFill="1" applyAlignment="1">
      <alignment horizontal="center" vertical="center" wrapText="1"/>
    </xf>
    <xf numFmtId="1" fontId="1" fillId="35" borderId="0" xfId="0" applyNumberFormat="1" applyFont="1" applyFill="1" applyBorder="1" applyAlignment="1">
      <alignment horizontal="center" vertical="center" wrapText="1"/>
    </xf>
    <xf numFmtId="1" fontId="1" fillId="35" borderId="0" xfId="0" applyNumberFormat="1" applyFont="1" applyFill="1" applyAlignment="1">
      <alignment horizontal="center" vertical="center" wrapText="1"/>
    </xf>
    <xf numFmtId="0" fontId="28" fillId="35" borderId="0" xfId="0" applyFont="1" applyFill="1" applyAlignment="1">
      <alignment horizontal="center" vertical="center" wrapText="1"/>
    </xf>
    <xf numFmtId="0" fontId="21" fillId="35" borderId="0" xfId="0" applyFont="1" applyFill="1" applyAlignment="1">
      <alignment horizontal="center" vertical="center" wrapText="1"/>
    </xf>
    <xf numFmtId="0" fontId="21" fillId="35" borderId="0" xfId="0" applyFont="1" applyFill="1" applyBorder="1" applyAlignment="1">
      <alignment horizontal="center" vertical="center" wrapText="1"/>
    </xf>
    <xf numFmtId="1" fontId="91" fillId="35" borderId="0" xfId="0" applyNumberFormat="1" applyFont="1" applyFill="1" applyAlignment="1">
      <alignment horizontal="center" vertical="center" wrapText="1"/>
    </xf>
    <xf numFmtId="0" fontId="89" fillId="35" borderId="0" xfId="0" applyFont="1" applyFill="1" applyAlignment="1">
      <alignment horizontal="center" vertical="center" wrapText="1"/>
    </xf>
    <xf numFmtId="1" fontId="89" fillId="35" borderId="0" xfId="0" applyNumberFormat="1" applyFont="1" applyFill="1" applyAlignment="1">
      <alignment horizontal="center" vertical="center" wrapText="1"/>
    </xf>
    <xf numFmtId="0" fontId="89" fillId="35" borderId="0" xfId="0" applyFont="1" applyFill="1" applyBorder="1" applyAlignment="1">
      <alignment horizontal="center" vertical="center" wrapText="1"/>
    </xf>
    <xf numFmtId="0" fontId="2" fillId="35" borderId="0" xfId="0" applyFont="1" applyFill="1" applyBorder="1" applyAlignment="1">
      <alignment horizontal="center" vertical="center" wrapText="1"/>
    </xf>
    <xf numFmtId="1" fontId="2" fillId="35" borderId="0" xfId="0" applyNumberFormat="1" applyFont="1" applyFill="1" applyAlignment="1">
      <alignment vertical="center" wrapText="1"/>
    </xf>
    <xf numFmtId="1" fontId="1" fillId="35" borderId="0" xfId="0" applyNumberFormat="1" applyFont="1" applyFill="1" applyAlignment="1">
      <alignment vertical="center" wrapText="1"/>
    </xf>
    <xf numFmtId="0" fontId="1" fillId="35" borderId="0" xfId="0" applyFont="1" applyFill="1" applyAlignment="1">
      <alignment vertical="center" wrapText="1"/>
    </xf>
    <xf numFmtId="0" fontId="1" fillId="35" borderId="0" xfId="0" applyFont="1" applyFill="1" applyBorder="1" applyAlignment="1">
      <alignment vertical="center" wrapText="1"/>
    </xf>
    <xf numFmtId="0" fontId="33" fillId="35" borderId="0" xfId="0" applyFont="1" applyFill="1" applyAlignment="1">
      <alignment/>
    </xf>
    <xf numFmtId="0" fontId="34" fillId="35" borderId="0" xfId="0" applyFont="1" applyFill="1" applyAlignment="1">
      <alignment/>
    </xf>
    <xf numFmtId="0" fontId="33" fillId="35" borderId="0" xfId="0" applyFont="1" applyFill="1" applyBorder="1" applyAlignment="1">
      <alignment/>
    </xf>
    <xf numFmtId="1" fontId="32" fillId="35" borderId="0" xfId="0" applyNumberFormat="1" applyFont="1" applyFill="1" applyAlignment="1">
      <alignment wrapText="1"/>
    </xf>
    <xf numFmtId="1" fontId="37" fillId="35" borderId="0" xfId="0" applyNumberFormat="1" applyFont="1" applyFill="1" applyAlignment="1">
      <alignment wrapText="1"/>
    </xf>
    <xf numFmtId="0" fontId="31" fillId="35" borderId="0" xfId="0" applyFont="1" applyFill="1" applyAlignment="1">
      <alignment wrapText="1"/>
    </xf>
    <xf numFmtId="0" fontId="29" fillId="35" borderId="0" xfId="0" applyFont="1" applyFill="1" applyAlignment="1">
      <alignment wrapText="1"/>
    </xf>
    <xf numFmtId="0" fontId="29" fillId="35" borderId="0" xfId="0" applyFont="1" applyFill="1" applyBorder="1" applyAlignment="1">
      <alignment wrapText="1"/>
    </xf>
    <xf numFmtId="0" fontId="30" fillId="35" borderId="0" xfId="0" applyFont="1" applyFill="1" applyAlignment="1">
      <alignment wrapText="1"/>
    </xf>
    <xf numFmtId="0" fontId="30" fillId="35" borderId="0" xfId="0" applyFont="1" applyFill="1" applyBorder="1" applyAlignment="1">
      <alignment wrapText="1"/>
    </xf>
    <xf numFmtId="0" fontId="92" fillId="35" borderId="0" xfId="0" applyFont="1" applyFill="1" applyAlignment="1">
      <alignment horizontal="center" vertical="center" wrapText="1"/>
    </xf>
    <xf numFmtId="1" fontId="92" fillId="35" borderId="0" xfId="0" applyNumberFormat="1" applyFont="1" applyFill="1" applyAlignment="1">
      <alignment horizontal="center" vertical="center" wrapText="1"/>
    </xf>
    <xf numFmtId="0" fontId="93" fillId="35" borderId="0" xfId="0" applyFont="1" applyFill="1" applyAlignment="1">
      <alignment horizontal="center" vertical="center" wrapText="1"/>
    </xf>
    <xf numFmtId="0" fontId="93" fillId="35" borderId="0" xfId="0" applyFont="1" applyFill="1" applyBorder="1" applyAlignment="1">
      <alignment horizontal="center" vertical="center" wrapText="1"/>
    </xf>
    <xf numFmtId="0" fontId="92" fillId="35" borderId="0" xfId="0" applyFont="1" applyFill="1" applyBorder="1" applyAlignment="1">
      <alignment horizontal="center" vertical="center" wrapText="1"/>
    </xf>
    <xf numFmtId="1" fontId="2" fillId="35" borderId="0" xfId="0" applyNumberFormat="1" applyFont="1" applyFill="1" applyBorder="1" applyAlignment="1">
      <alignment vertical="center" wrapText="1"/>
    </xf>
    <xf numFmtId="1" fontId="2" fillId="35" borderId="0" xfId="0" applyNumberFormat="1" applyFont="1" applyFill="1" applyBorder="1" applyAlignment="1">
      <alignment horizontal="right" vertical="center" wrapText="1"/>
    </xf>
    <xf numFmtId="49" fontId="1" fillId="35" borderId="11" xfId="0" applyNumberFormat="1" applyFont="1" applyFill="1" applyBorder="1" applyAlignment="1">
      <alignment vertical="center" wrapText="1"/>
    </xf>
    <xf numFmtId="0" fontId="2" fillId="35" borderId="0" xfId="0" applyFont="1" applyFill="1" applyBorder="1" applyAlignment="1">
      <alignment horizontal="right" vertical="center" wrapText="1"/>
    </xf>
    <xf numFmtId="0" fontId="9" fillId="35" borderId="0" xfId="0" applyFont="1" applyFill="1" applyBorder="1" applyAlignment="1">
      <alignment horizontal="right" wrapText="1"/>
    </xf>
    <xf numFmtId="0" fontId="9" fillId="35" borderId="0" xfId="0" applyFont="1" applyFill="1" applyBorder="1" applyAlignment="1">
      <alignment horizontal="right"/>
    </xf>
    <xf numFmtId="0" fontId="27" fillId="35" borderId="0" xfId="0" applyFont="1" applyFill="1" applyBorder="1" applyAlignment="1">
      <alignment horizontal="right" wrapText="1"/>
    </xf>
    <xf numFmtId="0" fontId="2" fillId="35" borderId="0" xfId="0" applyFont="1" applyFill="1" applyBorder="1" applyAlignment="1">
      <alignment horizontal="right" wrapText="1"/>
    </xf>
    <xf numFmtId="1" fontId="34" fillId="35" borderId="0" xfId="0" applyNumberFormat="1" applyFont="1" applyFill="1" applyBorder="1" applyAlignment="1">
      <alignment horizontal="right"/>
    </xf>
    <xf numFmtId="1" fontId="2" fillId="35" borderId="0" xfId="0" applyNumberFormat="1" applyFont="1" applyFill="1" applyBorder="1" applyAlignment="1">
      <alignment horizontal="right" wrapText="1"/>
    </xf>
    <xf numFmtId="0" fontId="1" fillId="35" borderId="0" xfId="0" applyFont="1" applyFill="1" applyBorder="1" applyAlignment="1">
      <alignment horizontal="right" wrapText="1"/>
    </xf>
    <xf numFmtId="0" fontId="31" fillId="35" borderId="0" xfId="0" applyFont="1" applyFill="1" applyBorder="1" applyAlignment="1">
      <alignment horizontal="right" wrapText="1"/>
    </xf>
    <xf numFmtId="0" fontId="30" fillId="35" borderId="0" xfId="0" applyFont="1" applyFill="1" applyBorder="1" applyAlignment="1">
      <alignment horizontal="right" wrapText="1"/>
    </xf>
    <xf numFmtId="0" fontId="17" fillId="35" borderId="0" xfId="0" applyFont="1" applyFill="1" applyBorder="1" applyAlignment="1">
      <alignment horizontal="right" wrapText="1"/>
    </xf>
    <xf numFmtId="1" fontId="17" fillId="35" borderId="0" xfId="0" applyNumberFormat="1" applyFont="1" applyFill="1" applyBorder="1" applyAlignment="1">
      <alignment horizontal="right" wrapText="1"/>
    </xf>
    <xf numFmtId="0" fontId="1" fillId="35" borderId="0" xfId="0" applyFont="1" applyFill="1" applyBorder="1" applyAlignment="1">
      <alignment horizontal="center" vertical="center" wrapText="1"/>
    </xf>
    <xf numFmtId="0" fontId="1" fillId="35" borderId="11" xfId="0" applyFont="1" applyFill="1" applyBorder="1" applyAlignment="1">
      <alignment vertical="center" wrapText="1"/>
    </xf>
    <xf numFmtId="0" fontId="94" fillId="35" borderId="0" xfId="0" applyFont="1" applyFill="1" applyAlignment="1">
      <alignment horizontal="center" vertical="center" wrapText="1"/>
    </xf>
    <xf numFmtId="0" fontId="95" fillId="35" borderId="0" xfId="0" applyFont="1" applyFill="1" applyAlignment="1">
      <alignment horizontal="center" vertical="center" wrapText="1"/>
    </xf>
    <xf numFmtId="0" fontId="95" fillId="35" borderId="0" xfId="0" applyFont="1" applyFill="1" applyBorder="1" applyAlignment="1">
      <alignment horizontal="center" vertical="center" wrapText="1"/>
    </xf>
    <xf numFmtId="0" fontId="38" fillId="35" borderId="14" xfId="0" applyFont="1" applyFill="1" applyBorder="1" applyAlignment="1">
      <alignment horizontal="left"/>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2" fillId="36" borderId="0" xfId="0" applyNumberFormat="1" applyFont="1" applyFill="1" applyAlignment="1">
      <alignment horizontal="center" vertical="center" wrapText="1"/>
    </xf>
    <xf numFmtId="0" fontId="1" fillId="36" borderId="0" xfId="0" applyFont="1" applyFill="1" applyAlignment="1">
      <alignment horizontal="center" vertical="center" wrapText="1"/>
    </xf>
    <xf numFmtId="0" fontId="1" fillId="36" borderId="0"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17" fillId="35" borderId="0" xfId="0" applyNumberFormat="1" applyFont="1" applyFill="1" applyAlignment="1">
      <alignment wrapText="1"/>
    </xf>
    <xf numFmtId="1" fontId="2" fillId="35" borderId="0" xfId="0" applyNumberFormat="1" applyFont="1" applyFill="1" applyAlignment="1">
      <alignment wrapText="1"/>
    </xf>
    <xf numFmtId="1" fontId="1" fillId="36" borderId="0" xfId="0" applyNumberFormat="1" applyFont="1" applyFill="1" applyAlignment="1">
      <alignment horizontal="center" vertical="center" wrapText="1"/>
    </xf>
    <xf numFmtId="1" fontId="1" fillId="35" borderId="0" xfId="0" applyNumberFormat="1" applyFont="1" applyFill="1" applyAlignment="1">
      <alignment wrapText="1"/>
    </xf>
    <xf numFmtId="0" fontId="1" fillId="35" borderId="10" xfId="0" applyFont="1" applyFill="1" applyBorder="1" applyAlignment="1">
      <alignment horizontal="center" vertical="center" wrapText="1"/>
    </xf>
    <xf numFmtId="49" fontId="1" fillId="35" borderId="15" xfId="0" applyNumberFormat="1" applyFont="1" applyFill="1" applyBorder="1" applyAlignment="1">
      <alignment horizontal="center" vertical="center" wrapText="1"/>
    </xf>
    <xf numFmtId="0" fontId="2" fillId="35" borderId="12" xfId="0"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96" fillId="35" borderId="0" xfId="0" applyFont="1" applyFill="1" applyBorder="1" applyAlignment="1">
      <alignment horizontal="right" wrapText="1"/>
    </xf>
    <xf numFmtId="0" fontId="97" fillId="35" borderId="0" xfId="0" applyFont="1" applyFill="1" applyAlignment="1">
      <alignment wrapText="1"/>
    </xf>
    <xf numFmtId="1" fontId="15" fillId="36" borderId="10" xfId="0" applyNumberFormat="1" applyFont="1" applyFill="1" applyBorder="1" applyAlignment="1">
      <alignment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xf>
    <xf numFmtId="1" fontId="17" fillId="35" borderId="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98"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2" fontId="1" fillId="35" borderId="10" xfId="58"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6" xfId="0" applyFont="1" applyFill="1" applyBorder="1" applyAlignment="1">
      <alignment horizontal="center" vertical="center" wrapText="1"/>
    </xf>
    <xf numFmtId="49" fontId="1" fillId="35" borderId="0" xfId="0" applyNumberFormat="1" applyFont="1" applyFill="1" applyBorder="1" applyAlignment="1">
      <alignment horizontal="center" vertical="center" wrapText="1"/>
    </xf>
    <xf numFmtId="0" fontId="0" fillId="0" borderId="10" xfId="0" applyFill="1" applyBorder="1" applyAlignment="1">
      <alignment horizontal="left" wrapText="1"/>
    </xf>
    <xf numFmtId="0" fontId="99" fillId="0" borderId="10" xfId="0" applyFont="1" applyFill="1" applyBorder="1" applyAlignment="1">
      <alignment horizontal="left" wrapText="1"/>
    </xf>
    <xf numFmtId="0" fontId="0" fillId="0" borderId="10" xfId="0" applyBorder="1" applyAlignment="1">
      <alignment horizontal="left" wrapText="1"/>
    </xf>
    <xf numFmtId="0" fontId="99" fillId="0" borderId="10" xfId="0" applyFont="1" applyBorder="1" applyAlignment="1">
      <alignment horizontal="left" wrapText="1"/>
    </xf>
    <xf numFmtId="0" fontId="1" fillId="35" borderId="10" xfId="0" applyFont="1" applyFill="1" applyBorder="1" applyAlignment="1">
      <alignment horizontal="left" vertical="center" wrapText="1"/>
    </xf>
    <xf numFmtId="49" fontId="100" fillId="35" borderId="11" xfId="0" applyNumberFormat="1" applyFont="1" applyFill="1" applyBorder="1" applyAlignment="1">
      <alignment horizontal="center" vertical="center" wrapText="1"/>
    </xf>
    <xf numFmtId="0" fontId="100" fillId="35" borderId="11" xfId="0" applyFont="1" applyFill="1" applyBorder="1" applyAlignment="1">
      <alignment horizontal="center" vertical="center" wrapText="1"/>
    </xf>
    <xf numFmtId="0" fontId="100" fillId="35" borderId="13" xfId="0" applyFont="1" applyFill="1" applyBorder="1" applyAlignment="1">
      <alignment horizontal="center" vertical="center" wrapText="1"/>
    </xf>
    <xf numFmtId="0" fontId="1" fillId="35" borderId="11" xfId="0" applyFont="1" applyFill="1" applyBorder="1" applyAlignment="1">
      <alignment horizontal="left" vertical="center" wrapText="1"/>
    </xf>
    <xf numFmtId="49" fontId="101" fillId="35" borderId="11" xfId="0" applyNumberFormat="1" applyFont="1" applyFill="1" applyBorder="1" applyAlignment="1">
      <alignment horizontal="center" vertical="center" wrapText="1"/>
    </xf>
    <xf numFmtId="0" fontId="101" fillId="35" borderId="10" xfId="0" applyFont="1" applyFill="1" applyBorder="1" applyAlignment="1">
      <alignment horizontal="center" vertical="center" wrapText="1"/>
    </xf>
    <xf numFmtId="0" fontId="1" fillId="35" borderId="0" xfId="0" applyFont="1" applyFill="1" applyBorder="1" applyAlignment="1">
      <alignment horizontal="left" vertical="center" wrapText="1"/>
    </xf>
    <xf numFmtId="49" fontId="0" fillId="0" borderId="10" xfId="0" applyNumberFormat="1" applyBorder="1" applyAlignment="1">
      <alignment horizontal="center" vertical="center"/>
    </xf>
    <xf numFmtId="0" fontId="26"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3" xfId="0" applyFont="1" applyFill="1" applyBorder="1" applyAlignment="1">
      <alignment horizontal="center" vertical="center" wrapText="1"/>
    </xf>
    <xf numFmtId="1" fontId="1"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1" fontId="2" fillId="35" borderId="12" xfId="0" applyNumberFormat="1" applyFont="1" applyFill="1" applyBorder="1" applyAlignment="1">
      <alignment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9" fillId="0" borderId="10" xfId="0" applyFont="1" applyBorder="1" applyAlignment="1">
      <alignment horizontal="left" wrapText="1"/>
    </xf>
    <xf numFmtId="0" fontId="11" fillId="35" borderId="13"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1" fillId="35" borderId="17"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1" fontId="0" fillId="0" borderId="10" xfId="0" applyNumberFormat="1" applyFont="1" applyFill="1" applyBorder="1" applyAlignment="1">
      <alignment/>
    </xf>
    <xf numFmtId="0" fontId="0" fillId="0" borderId="0" xfId="0" applyFont="1" applyAlignment="1">
      <alignment/>
    </xf>
    <xf numFmtId="0" fontId="8" fillId="0" borderId="0" xfId="0" applyFont="1" applyFill="1" applyAlignment="1">
      <alignment/>
    </xf>
    <xf numFmtId="49" fontId="1" fillId="35" borderId="13" xfId="0" applyNumberFormat="1" applyFont="1" applyFill="1" applyBorder="1" applyAlignment="1">
      <alignment horizontal="center" vertical="center" wrapText="1"/>
    </xf>
    <xf numFmtId="1" fontId="1" fillId="35" borderId="0" xfId="0" applyNumberFormat="1" applyFont="1" applyFill="1" applyBorder="1" applyAlignment="1">
      <alignment horizontal="right" vertical="center" wrapText="1"/>
    </xf>
    <xf numFmtId="0" fontId="1" fillId="35" borderId="0" xfId="0" applyFont="1" applyFill="1" applyBorder="1" applyAlignment="1">
      <alignment horizontal="right" vertical="center"/>
    </xf>
    <xf numFmtId="1" fontId="26" fillId="35" borderId="0" xfId="0" applyNumberFormat="1" applyFont="1" applyFill="1" applyBorder="1" applyAlignment="1">
      <alignment horizontal="right" vertical="center" wrapText="1"/>
    </xf>
    <xf numFmtId="1" fontId="89" fillId="35" borderId="0" xfId="0" applyNumberFormat="1" applyFont="1" applyFill="1" applyBorder="1" applyAlignment="1">
      <alignment vertical="center" wrapText="1"/>
    </xf>
    <xf numFmtId="1" fontId="1" fillId="35" borderId="0" xfId="0" applyNumberFormat="1" applyFont="1" applyFill="1" applyBorder="1" applyAlignment="1">
      <alignment vertical="center" wrapText="1"/>
    </xf>
    <xf numFmtId="0" fontId="1" fillId="35" borderId="0" xfId="0" applyFont="1" applyFill="1" applyBorder="1" applyAlignment="1">
      <alignment horizontal="right" vertical="center" wrapText="1"/>
    </xf>
    <xf numFmtId="1" fontId="1" fillId="35" borderId="0" xfId="0" applyNumberFormat="1" applyFont="1" applyFill="1" applyBorder="1" applyAlignment="1">
      <alignment horizontal="right" vertical="center"/>
    </xf>
    <xf numFmtId="0" fontId="26" fillId="35" borderId="0" xfId="0" applyFont="1" applyFill="1" applyBorder="1" applyAlignment="1">
      <alignment horizontal="right" vertical="center" wrapText="1"/>
    </xf>
    <xf numFmtId="1" fontId="26" fillId="35" borderId="0" xfId="0" applyNumberFormat="1" applyFont="1" applyFill="1" applyBorder="1" applyAlignment="1">
      <alignment vertical="center" wrapText="1"/>
    </xf>
    <xf numFmtId="1" fontId="102" fillId="35" borderId="0" xfId="0" applyNumberFormat="1" applyFont="1" applyFill="1" applyBorder="1" applyAlignment="1">
      <alignment horizontal="right" vertical="center" wrapText="1"/>
    </xf>
    <xf numFmtId="2" fontId="1" fillId="35" borderId="0" xfId="58" applyNumberFormat="1" applyFont="1" applyFill="1" applyBorder="1" applyAlignment="1">
      <alignment vertical="center" wrapText="1"/>
    </xf>
    <xf numFmtId="0" fontId="89" fillId="35" borderId="0" xfId="0" applyFont="1" applyFill="1" applyBorder="1" applyAlignment="1">
      <alignment horizontal="right" vertical="center" wrapText="1"/>
    </xf>
    <xf numFmtId="0" fontId="2" fillId="35" borderId="0" xfId="0" applyFont="1" applyFill="1" applyBorder="1" applyAlignment="1">
      <alignment vertical="center" wrapText="1"/>
    </xf>
    <xf numFmtId="0" fontId="26" fillId="35" borderId="0" xfId="0" applyFont="1" applyFill="1" applyBorder="1" applyAlignment="1">
      <alignment vertical="center" wrapText="1"/>
    </xf>
    <xf numFmtId="1" fontId="26" fillId="35" borderId="0" xfId="0" applyNumberFormat="1" applyFont="1" applyFill="1" applyBorder="1" applyAlignment="1">
      <alignment vertical="center" wrapText="1"/>
    </xf>
    <xf numFmtId="1" fontId="103" fillId="35" borderId="0" xfId="0" applyNumberFormat="1" applyFont="1" applyFill="1" applyBorder="1" applyAlignment="1">
      <alignment horizontal="right" vertical="center" wrapText="1"/>
    </xf>
    <xf numFmtId="0" fontId="95" fillId="35" borderId="0" xfId="0" applyFont="1" applyFill="1" applyBorder="1" applyAlignment="1">
      <alignment horizontal="right" vertical="center" wrapText="1"/>
    </xf>
    <xf numFmtId="1" fontId="99" fillId="0" borderId="0" xfId="0" applyNumberFormat="1" applyFont="1" applyBorder="1" applyAlignment="1">
      <alignment horizontal="right"/>
    </xf>
    <xf numFmtId="1" fontId="39" fillId="0" borderId="0" xfId="0" applyNumberFormat="1" applyFont="1" applyBorder="1" applyAlignment="1">
      <alignment horizontal="right"/>
    </xf>
    <xf numFmtId="1" fontId="8" fillId="0" borderId="0" xfId="0" applyNumberFormat="1" applyFont="1" applyFill="1" applyBorder="1" applyAlignment="1">
      <alignment horizontal="right"/>
    </xf>
    <xf numFmtId="1" fontId="89" fillId="35" borderId="0" xfId="0" applyNumberFormat="1" applyFont="1" applyFill="1" applyBorder="1" applyAlignment="1">
      <alignment horizontal="right" vertical="center" wrapText="1"/>
    </xf>
    <xf numFmtId="49" fontId="0" fillId="0" borderId="10" xfId="0" applyNumberFormat="1" applyFill="1" applyBorder="1" applyAlignment="1">
      <alignment horizontal="center" vertical="center"/>
    </xf>
    <xf numFmtId="0" fontId="1" fillId="37"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0" borderId="11" xfId="0" applyNumberFormat="1" applyFont="1" applyBorder="1" applyAlignment="1">
      <alignment horizontal="center" vertical="center"/>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 fillId="0" borderId="10" xfId="0" applyNumberFormat="1" applyFont="1" applyBorder="1" applyAlignment="1">
      <alignment horizontal="center" vertical="center"/>
    </xf>
    <xf numFmtId="3" fontId="30" fillId="35" borderId="10" xfId="0" applyNumberFormat="1" applyFont="1" applyFill="1" applyBorder="1" applyAlignment="1">
      <alignment wrapText="1"/>
    </xf>
    <xf numFmtId="3" fontId="2" fillId="35" borderId="10" xfId="0" applyNumberFormat="1" applyFont="1" applyFill="1" applyBorder="1" applyAlignment="1">
      <alignment vertical="center" wrapText="1"/>
    </xf>
    <xf numFmtId="3" fontId="104" fillId="35" borderId="10" xfId="0" applyNumberFormat="1" applyFont="1" applyFill="1" applyBorder="1" applyAlignment="1">
      <alignment wrapText="1"/>
    </xf>
    <xf numFmtId="1" fontId="2" fillId="35" borderId="0" xfId="0" applyNumberFormat="1" applyFont="1" applyFill="1" applyBorder="1" applyAlignment="1">
      <alignment horizontal="center" vertical="center" wrapText="1"/>
    </xf>
    <xf numFmtId="1" fontId="0" fillId="0" borderId="0" xfId="0" applyNumberFormat="1" applyFont="1" applyFill="1" applyBorder="1" applyAlignment="1">
      <alignment/>
    </xf>
    <xf numFmtId="0" fontId="0" fillId="0" borderId="0" xfId="0" applyFont="1" applyBorder="1" applyAlignment="1">
      <alignment/>
    </xf>
    <xf numFmtId="0" fontId="8" fillId="0" borderId="0" xfId="0" applyFont="1" applyFill="1" applyBorder="1" applyAlignment="1">
      <alignment/>
    </xf>
    <xf numFmtId="0" fontId="103" fillId="36" borderId="10" xfId="0" applyFont="1" applyFill="1" applyBorder="1" applyAlignment="1">
      <alignment horizontal="center" vertical="center" wrapText="1"/>
    </xf>
    <xf numFmtId="1" fontId="95" fillId="35" borderId="0" xfId="0" applyNumberFormat="1" applyFont="1" applyFill="1" applyBorder="1" applyAlignment="1">
      <alignment horizontal="right" vertical="center" wrapText="1"/>
    </xf>
    <xf numFmtId="1" fontId="95" fillId="35" borderId="0" xfId="0" applyNumberFormat="1" applyFont="1" applyFill="1" applyBorder="1" applyAlignment="1">
      <alignment vertical="center" wrapText="1"/>
    </xf>
    <xf numFmtId="0" fontId="41" fillId="0" borderId="10" xfId="0" applyFont="1" applyBorder="1" applyAlignment="1">
      <alignment vertical="center" wrapText="1"/>
    </xf>
    <xf numFmtId="0" fontId="41" fillId="0" borderId="10" xfId="0" applyFont="1" applyFill="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49" fontId="1" fillId="0" borderId="11" xfId="0" applyNumberFormat="1" applyFont="1" applyFill="1" applyBorder="1" applyAlignment="1">
      <alignment horizontal="center" vertical="center"/>
    </xf>
    <xf numFmtId="0" fontId="1" fillId="0" borderId="11" xfId="0" applyFont="1" applyFill="1" applyBorder="1" applyAlignment="1">
      <alignment vertical="center" wrapText="1"/>
    </xf>
    <xf numFmtId="0" fontId="105" fillId="0" borderId="10" xfId="0" applyFont="1" applyFill="1" applyBorder="1" applyAlignment="1">
      <alignment horizontal="center" vertical="center" wrapText="1"/>
    </xf>
    <xf numFmtId="0" fontId="105" fillId="0" borderId="10" xfId="0" applyFont="1" applyBorder="1" applyAlignment="1">
      <alignment horizontal="center" vertical="center" wrapText="1"/>
    </xf>
    <xf numFmtId="0" fontId="1" fillId="35" borderId="15" xfId="0" applyFont="1" applyFill="1" applyBorder="1" applyAlignment="1">
      <alignment horizontal="left" vertical="center" wrapText="1"/>
    </xf>
    <xf numFmtId="49" fontId="2" fillId="35" borderId="15" xfId="0" applyNumberFormat="1" applyFont="1" applyFill="1" applyBorder="1" applyAlignment="1">
      <alignment horizontal="center" vertical="center" wrapText="1"/>
    </xf>
    <xf numFmtId="0" fontId="2" fillId="35" borderId="10" xfId="0" applyFont="1" applyFill="1" applyBorder="1" applyAlignment="1">
      <alignment horizontal="center" vertical="center"/>
    </xf>
    <xf numFmtId="49" fontId="1" fillId="35" borderId="11" xfId="0" applyNumberFormat="1"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38" fillId="35" borderId="18" xfId="0" applyFont="1" applyFill="1" applyBorder="1" applyAlignment="1">
      <alignment horizontal="left"/>
    </xf>
    <xf numFmtId="1" fontId="1" fillId="35" borderId="15" xfId="0" applyNumberFormat="1" applyFont="1" applyFill="1" applyBorder="1" applyAlignment="1">
      <alignment wrapText="1"/>
    </xf>
    <xf numFmtId="0" fontId="1" fillId="35" borderId="15" xfId="0" applyFont="1" applyFill="1" applyBorder="1" applyAlignment="1">
      <alignment wrapText="1"/>
    </xf>
    <xf numFmtId="1" fontId="29" fillId="35" borderId="15" xfId="0" applyNumberFormat="1" applyFont="1" applyFill="1" applyBorder="1" applyAlignment="1">
      <alignment wrapText="1"/>
    </xf>
    <xf numFmtId="1" fontId="90" fillId="35" borderId="15" xfId="0" applyNumberFormat="1" applyFont="1" applyFill="1" applyBorder="1" applyAlignment="1">
      <alignment wrapText="1"/>
    </xf>
    <xf numFmtId="1" fontId="98" fillId="35" borderId="15" xfId="0" applyNumberFormat="1" applyFont="1" applyFill="1" applyBorder="1" applyAlignment="1">
      <alignment wrapText="1"/>
    </xf>
    <xf numFmtId="1" fontId="15" fillId="35" borderId="15" xfId="0" applyNumberFormat="1" applyFont="1" applyFill="1" applyBorder="1" applyAlignment="1">
      <alignment wrapText="1"/>
    </xf>
    <xf numFmtId="0" fontId="15" fillId="35" borderId="15" xfId="0" applyFont="1" applyFill="1" applyBorder="1" applyAlignment="1">
      <alignment wrapText="1"/>
    </xf>
    <xf numFmtId="3" fontId="104" fillId="35" borderId="15" xfId="0" applyNumberFormat="1" applyFont="1" applyFill="1" applyBorder="1" applyAlignment="1">
      <alignment wrapText="1"/>
    </xf>
    <xf numFmtId="1" fontId="15" fillId="35" borderId="13" xfId="0" applyNumberFormat="1" applyFont="1" applyFill="1" applyBorder="1" applyAlignment="1">
      <alignment wrapText="1"/>
    </xf>
    <xf numFmtId="1" fontId="32" fillId="35" borderId="10" xfId="0" applyNumberFormat="1" applyFont="1" applyFill="1" applyBorder="1" applyAlignment="1">
      <alignment vertical="center" wrapText="1"/>
    </xf>
    <xf numFmtId="1" fontId="37" fillId="35" borderId="10" xfId="0" applyNumberFormat="1" applyFont="1" applyFill="1" applyBorder="1" applyAlignment="1">
      <alignment wrapText="1"/>
    </xf>
    <xf numFmtId="0" fontId="1" fillId="35" borderId="13" xfId="0" applyFont="1" applyFill="1" applyBorder="1" applyAlignment="1">
      <alignment horizontal="center" vertical="center" wrapText="1"/>
    </xf>
    <xf numFmtId="1" fontId="1" fillId="35" borderId="12" xfId="0" applyNumberFormat="1" applyFont="1" applyFill="1" applyBorder="1" applyAlignment="1">
      <alignment vertical="center" wrapText="1"/>
    </xf>
    <xf numFmtId="0" fontId="38" fillId="35" borderId="0" xfId="0" applyFont="1" applyFill="1" applyBorder="1" applyAlignment="1">
      <alignment horizontal="left"/>
    </xf>
    <xf numFmtId="0" fontId="35" fillId="35" borderId="0" xfId="0" applyFont="1" applyFill="1" applyBorder="1" applyAlignment="1">
      <alignment/>
    </xf>
    <xf numFmtId="0" fontId="14" fillId="34" borderId="10" xfId="0" applyFont="1" applyFill="1" applyBorder="1" applyAlignment="1">
      <alignment vertical="center" wrapText="1"/>
    </xf>
    <xf numFmtId="0" fontId="1" fillId="35" borderId="10" xfId="0" applyFont="1" applyFill="1" applyBorder="1" applyAlignment="1">
      <alignment vertical="center" wrapText="1"/>
    </xf>
    <xf numFmtId="49" fontId="106" fillId="0" borderId="1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105" fillId="0" borderId="10" xfId="0" applyNumberFormat="1" applyFont="1" applyBorder="1" applyAlignment="1">
      <alignment horizontal="center" vertical="center"/>
    </xf>
    <xf numFmtId="49" fontId="105" fillId="0" borderId="10" xfId="0" applyNumberFormat="1" applyFont="1" applyFill="1" applyBorder="1" applyAlignment="1">
      <alignment horizontal="center" vertical="center"/>
    </xf>
    <xf numFmtId="49" fontId="18" fillId="0" borderId="10" xfId="0" applyNumberFormat="1" applyFont="1" applyBorder="1" applyAlignment="1">
      <alignment horizontal="center" vertical="center"/>
    </xf>
    <xf numFmtId="49" fontId="103" fillId="0" borderId="10" xfId="0" applyNumberFormat="1" applyFont="1" applyBorder="1" applyAlignment="1">
      <alignment horizontal="center" vertical="center"/>
    </xf>
    <xf numFmtId="49" fontId="95" fillId="0" borderId="10" xfId="0" applyNumberFormat="1" applyFont="1" applyBorder="1" applyAlignment="1">
      <alignment horizontal="center" vertical="center"/>
    </xf>
    <xf numFmtId="49" fontId="18" fillId="0" borderId="10" xfId="0" applyNumberFormat="1" applyFont="1" applyFill="1" applyBorder="1" applyAlignment="1">
      <alignment horizontal="center" vertical="center"/>
    </xf>
    <xf numFmtId="49" fontId="105" fillId="0" borderId="10" xfId="0" applyNumberFormat="1" applyFont="1" applyFill="1" applyBorder="1" applyAlignment="1">
      <alignment horizontal="center" vertical="center" wrapText="1"/>
    </xf>
    <xf numFmtId="49" fontId="1" fillId="0" borderId="10" xfId="0" applyNumberFormat="1" applyFont="1" applyBorder="1" applyAlignment="1" quotePrefix="1">
      <alignment horizontal="center" vertical="center"/>
    </xf>
    <xf numFmtId="49" fontId="1" fillId="0" borderId="10" xfId="0" applyNumberFormat="1" applyFont="1" applyFill="1" applyBorder="1" applyAlignment="1" quotePrefix="1">
      <alignment horizontal="center" vertical="center"/>
    </xf>
    <xf numFmtId="0" fontId="38" fillId="35" borderId="14" xfId="0" applyFont="1" applyFill="1" applyBorder="1" applyAlignment="1">
      <alignment horizontal="left" vertical="center"/>
    </xf>
    <xf numFmtId="0" fontId="30" fillId="35" borderId="0" xfId="0" applyFont="1" applyFill="1" applyAlignment="1">
      <alignment vertical="center" wrapText="1"/>
    </xf>
    <xf numFmtId="0" fontId="17" fillId="35" borderId="10" xfId="0" applyFont="1" applyFill="1" applyBorder="1" applyAlignment="1">
      <alignment vertical="center" wrapText="1"/>
    </xf>
    <xf numFmtId="0" fontId="17" fillId="35" borderId="0" xfId="0" applyFont="1" applyFill="1" applyAlignment="1">
      <alignment vertical="center" wrapText="1"/>
    </xf>
    <xf numFmtId="0" fontId="38" fillId="35" borderId="14" xfId="0" applyFont="1" applyFill="1" applyBorder="1" applyAlignment="1">
      <alignment horizontal="center" vertical="center"/>
    </xf>
    <xf numFmtId="0" fontId="97" fillId="35" borderId="0" xfId="0" applyFont="1" applyFill="1" applyAlignment="1">
      <alignment horizontal="center" vertical="center" wrapText="1"/>
    </xf>
    <xf numFmtId="0" fontId="29" fillId="35" borderId="0" xfId="0" applyFont="1" applyFill="1" applyAlignment="1">
      <alignment horizontal="center" vertical="center" wrapText="1"/>
    </xf>
    <xf numFmtId="0" fontId="30" fillId="35" borderId="0" xfId="0" applyFont="1" applyFill="1" applyAlignment="1">
      <alignment horizontal="center" vertical="center" wrapText="1"/>
    </xf>
    <xf numFmtId="0" fontId="17" fillId="35" borderId="10" xfId="0" applyFont="1" applyFill="1" applyBorder="1" applyAlignment="1">
      <alignment horizontal="center" vertical="center" wrapText="1"/>
    </xf>
    <xf numFmtId="0" fontId="17" fillId="35" borderId="0" xfId="0" applyFont="1" applyFill="1" applyAlignment="1">
      <alignment horizontal="center" vertical="center" wrapText="1"/>
    </xf>
    <xf numFmtId="49" fontId="103" fillId="0" borderId="11" xfId="0" applyNumberFormat="1" applyFont="1" applyBorder="1" applyAlignment="1">
      <alignment horizontal="center" vertical="center"/>
    </xf>
    <xf numFmtId="0" fontId="103" fillId="0" borderId="11" xfId="0" applyFont="1" applyBorder="1" applyAlignment="1">
      <alignment vertical="center" wrapText="1"/>
    </xf>
    <xf numFmtId="1" fontId="107" fillId="35" borderId="0" xfId="0" applyNumberFormat="1" applyFont="1" applyFill="1" applyAlignment="1">
      <alignment horizontal="center" vertical="center" wrapText="1"/>
    </xf>
    <xf numFmtId="0" fontId="103" fillId="35" borderId="0" xfId="0" applyFont="1" applyFill="1" applyAlignment="1">
      <alignment horizontal="center" vertical="center" wrapText="1"/>
    </xf>
    <xf numFmtId="0" fontId="103" fillId="35" borderId="0" xfId="0" applyFont="1" applyFill="1" applyBorder="1" applyAlignment="1">
      <alignment horizontal="center" vertical="center" wrapText="1"/>
    </xf>
    <xf numFmtId="49" fontId="103" fillId="0" borderId="10" xfId="0" applyNumberFormat="1" applyFont="1" applyFill="1" applyBorder="1" applyAlignment="1">
      <alignment horizontal="center" vertical="center"/>
    </xf>
    <xf numFmtId="0" fontId="103" fillId="0" borderId="10" xfId="0" applyFont="1" applyBorder="1" applyAlignment="1">
      <alignment horizontal="left" vertical="center" wrapText="1"/>
    </xf>
    <xf numFmtId="49" fontId="103" fillId="0" borderId="10" xfId="0" applyNumberFormat="1" applyFont="1" applyFill="1" applyBorder="1" applyAlignment="1">
      <alignment vertical="center"/>
    </xf>
    <xf numFmtId="0" fontId="103" fillId="0" borderId="10" xfId="0" applyFont="1" applyFill="1" applyBorder="1" applyAlignment="1">
      <alignment vertical="center" wrapText="1"/>
    </xf>
    <xf numFmtId="0" fontId="103" fillId="0" borderId="10" xfId="0"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vertical="center" wrapText="1"/>
    </xf>
    <xf numFmtId="0" fontId="1" fillId="35" borderId="12" xfId="0" applyFont="1" applyFill="1" applyBorder="1" applyAlignment="1">
      <alignment vertical="center" wrapText="1"/>
    </xf>
    <xf numFmtId="0" fontId="1" fillId="35" borderId="10" xfId="0" applyFont="1" applyFill="1" applyBorder="1" applyAlignment="1">
      <alignment vertical="center"/>
    </xf>
    <xf numFmtId="0" fontId="2" fillId="35" borderId="10" xfId="0" applyFont="1" applyFill="1" applyBorder="1" applyAlignment="1">
      <alignment vertical="center" wrapText="1"/>
    </xf>
    <xf numFmtId="0" fontId="2" fillId="35" borderId="10" xfId="0" applyFont="1" applyFill="1" applyBorder="1" applyAlignment="1">
      <alignment vertical="center"/>
    </xf>
    <xf numFmtId="0" fontId="1" fillId="0" borderId="10" xfId="0" applyFont="1" applyBorder="1" applyAlignment="1">
      <alignment horizontal="left" vertical="center" wrapText="1"/>
    </xf>
    <xf numFmtId="0" fontId="1" fillId="0" borderId="10" xfId="0" applyFont="1" applyFill="1" applyBorder="1" applyAlignment="1">
      <alignment horizontal="left" vertical="center" wrapText="1"/>
    </xf>
    <xf numFmtId="0" fontId="105" fillId="0" borderId="10" xfId="0" applyFont="1" applyBorder="1" applyAlignment="1">
      <alignment vertical="center" wrapText="1"/>
    </xf>
    <xf numFmtId="0" fontId="103" fillId="0" borderId="10" xfId="0" applyFont="1" applyBorder="1" applyAlignment="1">
      <alignment vertical="center" wrapText="1"/>
    </xf>
    <xf numFmtId="0" fontId="105" fillId="0" borderId="10" xfId="0" applyFont="1" applyFill="1" applyBorder="1" applyAlignment="1">
      <alignment vertical="center" wrapText="1"/>
    </xf>
    <xf numFmtId="0" fontId="105" fillId="0" borderId="10" xfId="0" applyFont="1" applyBorder="1" applyAlignment="1">
      <alignment horizontal="left" vertical="center" wrapText="1"/>
    </xf>
    <xf numFmtId="0" fontId="105" fillId="0" borderId="10" xfId="0" applyFont="1" applyFill="1" applyBorder="1" applyAlignment="1">
      <alignment horizontal="left" vertical="center" wrapText="1"/>
    </xf>
    <xf numFmtId="0" fontId="103"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95" fillId="0" borderId="10" xfId="0" applyFont="1" applyBorder="1" applyAlignment="1">
      <alignment horizontal="left" vertical="center" wrapText="1"/>
    </xf>
    <xf numFmtId="0" fontId="18" fillId="0" borderId="10" xfId="0" applyFont="1" applyBorder="1" applyAlignment="1">
      <alignment vertical="center" wrapText="1"/>
    </xf>
    <xf numFmtId="0" fontId="18" fillId="0" borderId="10" xfId="0" applyFont="1" applyFill="1" applyBorder="1" applyAlignment="1">
      <alignment horizontal="left" vertical="center" wrapText="1"/>
    </xf>
    <xf numFmtId="1" fontId="97" fillId="35" borderId="0" xfId="0" applyNumberFormat="1" applyFont="1" applyFill="1" applyAlignment="1">
      <alignment vertical="center" wrapText="1"/>
    </xf>
    <xf numFmtId="1" fontId="29" fillId="35" borderId="0" xfId="0" applyNumberFormat="1" applyFont="1" applyFill="1" applyAlignment="1">
      <alignment vertical="center" wrapText="1"/>
    </xf>
    <xf numFmtId="0" fontId="0" fillId="0" borderId="10" xfId="0" applyBorder="1" applyAlignment="1">
      <alignment vertical="center" wrapText="1"/>
    </xf>
    <xf numFmtId="0" fontId="8" fillId="0" borderId="10" xfId="0" applyFont="1" applyFill="1" applyBorder="1" applyAlignment="1">
      <alignment vertical="center" wrapText="1"/>
    </xf>
    <xf numFmtId="0" fontId="1" fillId="0" borderId="12" xfId="0" applyFont="1" applyFill="1" applyBorder="1" applyAlignment="1">
      <alignment vertical="center" wrapText="1"/>
    </xf>
    <xf numFmtId="49" fontId="1" fillId="0" borderId="12" xfId="0" applyNumberFormat="1" applyFont="1" applyFill="1" applyBorder="1" applyAlignment="1">
      <alignment vertical="center"/>
    </xf>
    <xf numFmtId="1" fontId="26" fillId="35" borderId="10" xfId="0" applyNumberFormat="1" applyFont="1" applyFill="1" applyBorder="1" applyAlignment="1">
      <alignment vertical="center" wrapText="1"/>
    </xf>
    <xf numFmtId="1" fontId="103" fillId="35" borderId="10" xfId="0" applyNumberFormat="1" applyFont="1" applyFill="1" applyBorder="1" applyAlignment="1">
      <alignment vertical="center" wrapText="1"/>
    </xf>
    <xf numFmtId="1" fontId="1" fillId="35" borderId="10" xfId="0" applyNumberFormat="1" applyFont="1" applyFill="1" applyBorder="1" applyAlignment="1">
      <alignment vertical="center"/>
    </xf>
    <xf numFmtId="1" fontId="2" fillId="35" borderId="15" xfId="0" applyNumberFormat="1" applyFont="1" applyFill="1" applyBorder="1" applyAlignment="1">
      <alignment vertical="center" wrapText="1"/>
    </xf>
    <xf numFmtId="0" fontId="26" fillId="35" borderId="10" xfId="0" applyFont="1" applyFill="1" applyBorder="1" applyAlignment="1">
      <alignment vertical="center" wrapText="1"/>
    </xf>
    <xf numFmtId="0" fontId="89" fillId="35" borderId="10" xfId="0" applyFont="1" applyFill="1" applyBorder="1" applyAlignment="1">
      <alignment vertical="center" wrapText="1"/>
    </xf>
    <xf numFmtId="1" fontId="102" fillId="35" borderId="10" xfId="0" applyNumberFormat="1" applyFont="1" applyFill="1" applyBorder="1" applyAlignment="1">
      <alignment vertical="center" wrapText="1"/>
    </xf>
    <xf numFmtId="1" fontId="1" fillId="35" borderId="11" xfId="0" applyNumberFormat="1" applyFont="1" applyFill="1" applyBorder="1" applyAlignment="1">
      <alignment vertical="center" wrapText="1"/>
    </xf>
    <xf numFmtId="0" fontId="95" fillId="35" borderId="10" xfId="0" applyFont="1" applyFill="1" applyBorder="1" applyAlignment="1">
      <alignment vertical="center" wrapText="1"/>
    </xf>
    <xf numFmtId="1" fontId="99" fillId="0" borderId="10" xfId="0" applyNumberFormat="1" applyFont="1" applyBorder="1" applyAlignment="1">
      <alignment/>
    </xf>
    <xf numFmtId="1" fontId="39" fillId="0" borderId="10" xfId="0" applyNumberFormat="1" applyFont="1" applyBorder="1" applyAlignment="1">
      <alignment/>
    </xf>
    <xf numFmtId="1" fontId="8" fillId="0" borderId="10" xfId="0" applyNumberFormat="1" applyFont="1" applyFill="1" applyBorder="1" applyAlignment="1">
      <alignment/>
    </xf>
    <xf numFmtId="49" fontId="1" fillId="35" borderId="10" xfId="0" applyNumberFormat="1" applyFont="1" applyFill="1" applyBorder="1" applyAlignment="1">
      <alignment horizontal="right" vertical="center" wrapText="1"/>
    </xf>
    <xf numFmtId="1" fontId="2" fillId="35" borderId="10" xfId="0" applyNumberFormat="1" applyFont="1" applyFill="1" applyBorder="1" applyAlignment="1">
      <alignment vertical="center"/>
    </xf>
    <xf numFmtId="1" fontId="2" fillId="35" borderId="10" xfId="58" applyNumberFormat="1" applyFont="1" applyFill="1" applyBorder="1" applyAlignment="1">
      <alignment vertical="center" wrapText="1"/>
    </xf>
    <xf numFmtId="1" fontId="1" fillId="35" borderId="10" xfId="58" applyNumberFormat="1" applyFont="1" applyFill="1" applyBorder="1" applyAlignment="1">
      <alignment vertical="center" wrapText="1"/>
    </xf>
    <xf numFmtId="1" fontId="107" fillId="35" borderId="10" xfId="0" applyNumberFormat="1" applyFont="1" applyFill="1" applyBorder="1" applyAlignment="1">
      <alignment vertical="center" wrapText="1"/>
    </xf>
    <xf numFmtId="0" fontId="103" fillId="35" borderId="10" xfId="0" applyFont="1" applyFill="1" applyBorder="1" applyAlignment="1">
      <alignment vertical="center" wrapText="1"/>
    </xf>
    <xf numFmtId="0" fontId="107" fillId="35" borderId="10" xfId="0" applyFont="1" applyFill="1" applyBorder="1" applyAlignment="1">
      <alignment vertical="center" wrapText="1"/>
    </xf>
    <xf numFmtId="1" fontId="107" fillId="35" borderId="11" xfId="0" applyNumberFormat="1" applyFont="1" applyFill="1" applyBorder="1" applyAlignment="1">
      <alignment vertical="center" wrapText="1"/>
    </xf>
    <xf numFmtId="1" fontId="2" fillId="35" borderId="11" xfId="0" applyNumberFormat="1" applyFont="1" applyFill="1" applyBorder="1" applyAlignment="1">
      <alignment vertical="center" wrapText="1"/>
    </xf>
    <xf numFmtId="49" fontId="2" fillId="35" borderId="10" xfId="0" applyNumberFormat="1" applyFont="1" applyFill="1" applyBorder="1" applyAlignment="1">
      <alignment horizontal="center" vertical="center"/>
    </xf>
    <xf numFmtId="0" fontId="100" fillId="35" borderId="10" xfId="0" applyFont="1" applyFill="1" applyBorder="1" applyAlignment="1">
      <alignment horizontal="center" vertical="center" wrapText="1"/>
    </xf>
    <xf numFmtId="0" fontId="103" fillId="0" borderId="10" xfId="0" applyFont="1" applyBorder="1" applyAlignment="1">
      <alignment horizontal="left" vertical="center" wrapText="1" indent="1"/>
    </xf>
    <xf numFmtId="0" fontId="1" fillId="35" borderId="13" xfId="0" applyFont="1" applyFill="1" applyBorder="1" applyAlignment="1">
      <alignment horizontal="center" vertical="center" wrapText="1"/>
    </xf>
    <xf numFmtId="0" fontId="1" fillId="35" borderId="10" xfId="0"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0" borderId="12" xfId="0" applyNumberFormat="1" applyFont="1" applyBorder="1" applyAlignment="1">
      <alignment horizontal="center" vertical="center"/>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2"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3" xfId="0"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35" borderId="11" xfId="0" applyFont="1" applyFill="1" applyBorder="1" applyAlignment="1">
      <alignment horizontal="center" vertical="center" wrapText="1"/>
    </xf>
    <xf numFmtId="0" fontId="1" fillId="0" borderId="11" xfId="0" applyFont="1" applyBorder="1" applyAlignment="1">
      <alignment horizontal="left" vertical="center" wrapText="1" indent="1"/>
    </xf>
    <xf numFmtId="0" fontId="1" fillId="35" borderId="10" xfId="0" applyFont="1" applyFill="1" applyBorder="1" applyAlignment="1">
      <alignment horizontal="center" vertical="center" wrapText="1"/>
    </xf>
    <xf numFmtId="49" fontId="1" fillId="0" borderId="19" xfId="0" applyNumberFormat="1" applyFont="1" applyBorder="1" applyAlignment="1">
      <alignment vertical="center"/>
    </xf>
    <xf numFmtId="49" fontId="1" fillId="0" borderId="12" xfId="0" applyNumberFormat="1" applyFont="1" applyBorder="1" applyAlignment="1">
      <alignment vertical="center"/>
    </xf>
    <xf numFmtId="0" fontId="1" fillId="0" borderId="12" xfId="0" applyFont="1" applyBorder="1" applyAlignment="1">
      <alignment vertical="center" wrapText="1"/>
    </xf>
    <xf numFmtId="0" fontId="26" fillId="35" borderId="12" xfId="0" applyFont="1" applyFill="1" applyBorder="1" applyAlignment="1">
      <alignment horizontal="center" vertical="center" wrapText="1"/>
    </xf>
    <xf numFmtId="0" fontId="26" fillId="35" borderId="12" xfId="0" applyFont="1" applyFill="1" applyBorder="1" applyAlignment="1">
      <alignment vertical="center" wrapText="1"/>
    </xf>
    <xf numFmtId="49" fontId="1" fillId="0" borderId="10" xfId="0" applyNumberFormat="1" applyFont="1" applyBorder="1" applyAlignment="1">
      <alignment vertical="center"/>
    </xf>
    <xf numFmtId="49" fontId="1" fillId="35" borderId="12" xfId="0" applyNumberFormat="1" applyFont="1" applyFill="1" applyBorder="1" applyAlignment="1">
      <alignment vertical="center" wrapText="1"/>
    </xf>
    <xf numFmtId="49" fontId="1" fillId="0" borderId="11" xfId="0" applyNumberFormat="1" applyFont="1" applyBorder="1" applyAlignment="1">
      <alignment vertical="center"/>
    </xf>
    <xf numFmtId="0" fontId="1" fillId="0" borderId="10" xfId="0" applyFont="1" applyBorder="1" applyAlignment="1">
      <alignment horizontal="left" vertical="center" wrapText="1" indent="1"/>
    </xf>
    <xf numFmtId="0" fontId="1" fillId="0" borderId="11" xfId="0" applyFont="1" applyFill="1" applyBorder="1" applyAlignment="1">
      <alignment horizontal="left" vertical="center" wrapText="1" indent="1"/>
    </xf>
    <xf numFmtId="0" fontId="1" fillId="0" borderId="10" xfId="0" applyFont="1" applyFill="1" applyBorder="1" applyAlignment="1">
      <alignment horizontal="left" vertical="center" wrapText="1" indent="1"/>
    </xf>
    <xf numFmtId="0" fontId="103" fillId="35" borderId="10" xfId="0" applyFont="1" applyFill="1" applyBorder="1" applyAlignment="1">
      <alignment horizontal="left" vertical="center" wrapText="1"/>
    </xf>
    <xf numFmtId="0" fontId="1" fillId="0" borderId="10" xfId="0" applyFont="1" applyBorder="1" applyAlignment="1">
      <alignment vertical="top" wrapText="1"/>
    </xf>
    <xf numFmtId="49" fontId="1" fillId="35" borderId="10" xfId="0" applyNumberFormat="1"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 fillId="35" borderId="10" xfId="0" applyNumberFormat="1" applyFont="1" applyFill="1" applyBorder="1" applyAlignment="1">
      <alignment horizontal="center" vertical="center" wrapText="1"/>
    </xf>
    <xf numFmtId="49" fontId="103" fillId="0" borderId="11"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49" fontId="1" fillId="35" borderId="11" xfId="0" applyNumberFormat="1" applyFont="1" applyFill="1" applyBorder="1" applyAlignment="1">
      <alignment horizontal="center" vertical="center" wrapText="1"/>
    </xf>
    <xf numFmtId="1" fontId="95" fillId="35" borderId="10" xfId="0" applyNumberFormat="1" applyFont="1" applyFill="1" applyBorder="1" applyAlignment="1">
      <alignment vertical="center" wrapText="1"/>
    </xf>
    <xf numFmtId="49" fontId="0" fillId="0" borderId="10" xfId="0" applyNumberFormat="1" applyBorder="1" applyAlignment="1">
      <alignment horizontal="center"/>
    </xf>
    <xf numFmtId="0" fontId="40" fillId="35" borderId="11" xfId="0" applyFont="1" applyFill="1" applyBorder="1" applyAlignment="1">
      <alignment horizontal="center" vertical="center" wrapText="1"/>
    </xf>
    <xf numFmtId="0" fontId="40" fillId="35" borderId="19" xfId="0" applyFont="1" applyFill="1" applyBorder="1" applyAlignment="1">
      <alignment horizontal="center" vertical="center" wrapText="1"/>
    </xf>
    <xf numFmtId="0" fontId="40" fillId="35" borderId="12" xfId="0" applyFont="1" applyFill="1" applyBorder="1" applyAlignment="1">
      <alignment horizontal="center" vertical="center" wrapText="1"/>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35" borderId="11" xfId="0" applyNumberFormat="1" applyFont="1" applyFill="1" applyBorder="1" applyAlignment="1">
      <alignment horizontal="center" vertical="center" wrapText="1"/>
    </xf>
    <xf numFmtId="49" fontId="1" fillId="35" borderId="12" xfId="0" applyNumberFormat="1" applyFont="1" applyFill="1"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49" fontId="1" fillId="0" borderId="10"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35" borderId="10" xfId="0" applyNumberFormat="1" applyFont="1" applyFill="1" applyBorder="1" applyAlignment="1">
      <alignment horizontal="center" vertical="center" wrapText="1"/>
    </xf>
    <xf numFmtId="49" fontId="1" fillId="35" borderId="19" xfId="0" applyNumberFormat="1" applyFont="1" applyFill="1" applyBorder="1" applyAlignment="1">
      <alignment horizontal="center" vertical="center" wrapText="1"/>
    </xf>
    <xf numFmtId="0" fontId="19" fillId="35" borderId="0" xfId="0" applyFont="1" applyFill="1" applyBorder="1" applyAlignment="1">
      <alignment horizontal="center" wrapText="1"/>
    </xf>
    <xf numFmtId="49" fontId="1" fillId="0" borderId="11" xfId="0" applyNumberFormat="1" applyFont="1" applyBorder="1" applyAlignment="1">
      <alignment horizontal="left" vertical="center" wrapText="1"/>
    </xf>
    <xf numFmtId="49" fontId="1" fillId="0" borderId="12" xfId="0" applyNumberFormat="1" applyFont="1" applyBorder="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9" fillId="0" borderId="0" xfId="0" applyFont="1" applyAlignment="1">
      <alignment horizont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0" fillId="0" borderId="10" xfId="0" applyFont="1" applyFill="1" applyBorder="1" applyAlignment="1">
      <alignment horizontal="center" vertical="center"/>
    </xf>
    <xf numFmtId="1" fontId="1" fillId="0" borderId="10" xfId="0" applyNumberFormat="1" applyFont="1" applyFill="1" applyBorder="1" applyAlignment="1">
      <alignment horizontal="center" vertical="center" wrapText="1"/>
    </xf>
    <xf numFmtId="0" fontId="10" fillId="0" borderId="0" xfId="0" applyFont="1" applyFill="1" applyAlignment="1">
      <alignment horizontal="left" wrapText="1"/>
    </xf>
    <xf numFmtId="0" fontId="71" fillId="35" borderId="0" xfId="0" applyFont="1" applyFill="1" applyBorder="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K686"/>
  <sheetViews>
    <sheetView showZeros="0" tabSelected="1" view="pageBreakPreview" zoomScale="75" zoomScaleSheetLayoutView="75" zoomScalePageLayoutView="0" workbookViewId="0" topLeftCell="A1">
      <pane ySplit="10455" topLeftCell="A575" activePane="topLeft" state="split"/>
      <selection pane="topLeft" activeCell="G3" sqref="G3"/>
      <selection pane="bottomLeft" activeCell="E577" sqref="E577"/>
    </sheetView>
  </sheetViews>
  <sheetFormatPr defaultColWidth="9.140625" defaultRowHeight="12.75"/>
  <cols>
    <col min="1" max="2" width="10.8515625" style="104" customWidth="1"/>
    <col min="3" max="3" width="13.57421875" style="104" hidden="1" customWidth="1"/>
    <col min="4" max="4" width="12.57421875" style="104" customWidth="1"/>
    <col min="5" max="5" width="51.421875" style="126" customWidth="1"/>
    <col min="6" max="6" width="67.140625" style="94" customWidth="1"/>
    <col min="7" max="7" width="20.421875" style="94" customWidth="1"/>
    <col min="8" max="8" width="23.421875" style="94" customWidth="1"/>
    <col min="9" max="9" width="23.57421875" style="87" customWidth="1"/>
    <col min="10" max="10" width="18.421875" style="150" customWidth="1"/>
    <col min="11" max="11" width="14.421875" style="107" customWidth="1"/>
    <col min="12" max="12" width="12.140625" style="94" customWidth="1"/>
    <col min="13" max="13" width="13.57421875" style="94" customWidth="1"/>
    <col min="14" max="14" width="14.8515625" style="108" customWidth="1"/>
    <col min="15" max="15" width="12.57421875" style="94" customWidth="1"/>
    <col min="16" max="16384" width="9.140625" style="94" customWidth="1"/>
  </cols>
  <sheetData>
    <row r="1" spans="1:10" ht="41.25" customHeight="1">
      <c r="A1" s="158"/>
      <c r="B1" s="158"/>
      <c r="C1" s="158"/>
      <c r="D1" s="158"/>
      <c r="E1" s="127"/>
      <c r="F1" s="108"/>
      <c r="G1" s="302" t="s">
        <v>125</v>
      </c>
      <c r="H1" s="303"/>
      <c r="I1" s="303"/>
      <c r="J1" s="147"/>
    </row>
    <row r="2" spans="1:10" ht="30" customHeight="1">
      <c r="A2" s="158"/>
      <c r="B2" s="158"/>
      <c r="C2" s="158"/>
      <c r="D2" s="158"/>
      <c r="E2" s="127"/>
      <c r="F2" s="108"/>
      <c r="G2" s="302" t="s">
        <v>124</v>
      </c>
      <c r="H2" s="303"/>
      <c r="I2" s="303"/>
      <c r="J2" s="148"/>
    </row>
    <row r="3" spans="1:10" ht="28.5" customHeight="1">
      <c r="A3" s="158"/>
      <c r="B3" s="158"/>
      <c r="C3" s="158"/>
      <c r="D3" s="158"/>
      <c r="E3" s="127"/>
      <c r="F3" s="108"/>
      <c r="G3" s="467" t="s">
        <v>1306</v>
      </c>
      <c r="H3" s="303"/>
      <c r="I3" s="303"/>
      <c r="J3" s="148"/>
    </row>
    <row r="4" spans="1:10" ht="27" customHeight="1">
      <c r="A4" s="158"/>
      <c r="B4" s="158"/>
      <c r="C4" s="158"/>
      <c r="D4" s="158"/>
      <c r="E4" s="127"/>
      <c r="F4" s="158"/>
      <c r="G4" s="108"/>
      <c r="H4" s="108"/>
      <c r="I4" s="303"/>
      <c r="J4" s="148"/>
    </row>
    <row r="5" spans="1:9" ht="9.75" customHeight="1">
      <c r="A5" s="158"/>
      <c r="B5" s="158"/>
      <c r="C5" s="158"/>
      <c r="D5" s="158"/>
      <c r="E5" s="127"/>
      <c r="F5" s="108"/>
      <c r="G5" s="108"/>
      <c r="H5" s="108"/>
      <c r="I5" s="108"/>
    </row>
    <row r="6" spans="1:14" s="110" customFormat="1" ht="51.75" customHeight="1">
      <c r="A6" s="449" t="s">
        <v>552</v>
      </c>
      <c r="B6" s="449"/>
      <c r="C6" s="449"/>
      <c r="D6" s="449"/>
      <c r="E6" s="449"/>
      <c r="F6" s="449"/>
      <c r="G6" s="449"/>
      <c r="H6" s="449"/>
      <c r="I6" s="449"/>
      <c r="J6" s="149"/>
      <c r="K6" s="109"/>
      <c r="N6" s="111"/>
    </row>
    <row r="7" spans="1:9" ht="15" customHeight="1">
      <c r="A7" s="158"/>
      <c r="B7" s="158"/>
      <c r="C7" s="158"/>
      <c r="D7" s="158"/>
      <c r="E7" s="127"/>
      <c r="F7" s="108"/>
      <c r="G7" s="108"/>
      <c r="H7" s="108"/>
      <c r="I7" s="108"/>
    </row>
    <row r="8" spans="1:9" ht="16.5" customHeight="1">
      <c r="A8" s="158"/>
      <c r="B8" s="158"/>
      <c r="C8" s="158"/>
      <c r="D8" s="158"/>
      <c r="E8" s="127"/>
      <c r="F8" s="108"/>
      <c r="G8" s="108"/>
      <c r="H8" s="108"/>
      <c r="I8" s="153" t="s">
        <v>512</v>
      </c>
    </row>
    <row r="9" spans="1:14" s="104" customFormat="1" ht="90">
      <c r="A9" s="112" t="s">
        <v>119</v>
      </c>
      <c r="B9" s="112" t="s">
        <v>1058</v>
      </c>
      <c r="C9" s="112" t="s">
        <v>120</v>
      </c>
      <c r="D9" s="112" t="s">
        <v>121</v>
      </c>
      <c r="E9" s="304" t="s">
        <v>1057</v>
      </c>
      <c r="F9" s="231" t="s">
        <v>122</v>
      </c>
      <c r="G9" s="305" t="s">
        <v>60</v>
      </c>
      <c r="H9" s="305" t="s">
        <v>63</v>
      </c>
      <c r="I9" s="231" t="s">
        <v>123</v>
      </c>
      <c r="J9" s="146" t="s">
        <v>266</v>
      </c>
      <c r="N9" s="158"/>
    </row>
    <row r="10" spans="1:14" s="104" customFormat="1" ht="16.5" customHeight="1">
      <c r="A10" s="340">
        <v>1</v>
      </c>
      <c r="B10" s="340">
        <v>2</v>
      </c>
      <c r="C10" s="231">
        <v>3</v>
      </c>
      <c r="D10" s="340">
        <v>3</v>
      </c>
      <c r="E10" s="340">
        <v>4</v>
      </c>
      <c r="F10" s="231">
        <v>5</v>
      </c>
      <c r="G10" s="286">
        <v>6</v>
      </c>
      <c r="H10" s="286">
        <v>7</v>
      </c>
      <c r="I10" s="231">
        <v>8</v>
      </c>
      <c r="J10" s="146"/>
      <c r="K10" s="106"/>
      <c r="N10" s="158"/>
    </row>
    <row r="11" spans="1:14" s="104" customFormat="1" ht="15.75" customHeight="1">
      <c r="A11" s="96"/>
      <c r="B11" s="96" t="s">
        <v>133</v>
      </c>
      <c r="C11" s="96" t="s">
        <v>133</v>
      </c>
      <c r="D11" s="96"/>
      <c r="E11" s="99" t="s">
        <v>516</v>
      </c>
      <c r="F11" s="166"/>
      <c r="G11" s="83">
        <f>G12</f>
        <v>28157736</v>
      </c>
      <c r="H11" s="83">
        <f>H12</f>
        <v>42657633</v>
      </c>
      <c r="I11" s="83">
        <f>I12</f>
        <v>70815369</v>
      </c>
      <c r="J11" s="144">
        <f>J12</f>
        <v>0</v>
      </c>
      <c r="K11" s="113"/>
      <c r="N11" s="158"/>
    </row>
    <row r="12" spans="1:14" s="104" customFormat="1" ht="15.75" customHeight="1">
      <c r="A12" s="211" t="s">
        <v>553</v>
      </c>
      <c r="B12" s="211"/>
      <c r="C12" s="306"/>
      <c r="D12" s="306"/>
      <c r="E12" s="212" t="s">
        <v>516</v>
      </c>
      <c r="F12" s="199"/>
      <c r="G12" s="83">
        <f>G13+G16+G20+G23+G25+G36</f>
        <v>28157736</v>
      </c>
      <c r="H12" s="83">
        <f>H13+H16+H20+H23+H25+H36</f>
        <v>42657633</v>
      </c>
      <c r="I12" s="83">
        <f>G12+H12</f>
        <v>70815369</v>
      </c>
      <c r="J12" s="144">
        <f>J13+J16+J20+J23+J25+J36</f>
        <v>0</v>
      </c>
      <c r="K12" s="113"/>
      <c r="N12" s="158"/>
    </row>
    <row r="13" spans="1:14" s="104" customFormat="1" ht="15.75" customHeight="1">
      <c r="A13" s="207" t="s">
        <v>554</v>
      </c>
      <c r="B13" s="207" t="s">
        <v>1060</v>
      </c>
      <c r="C13" s="207" t="s">
        <v>555</v>
      </c>
      <c r="D13" s="207"/>
      <c r="E13" s="208" t="s">
        <v>556</v>
      </c>
      <c r="F13" s="209"/>
      <c r="G13" s="83">
        <f>G14</f>
        <v>0</v>
      </c>
      <c r="H13" s="83">
        <f>H14</f>
        <v>16756681</v>
      </c>
      <c r="I13" s="83">
        <f>I14</f>
        <v>16756681</v>
      </c>
      <c r="J13" s="144">
        <f>J14</f>
        <v>0</v>
      </c>
      <c r="K13" s="113"/>
      <c r="N13" s="158"/>
    </row>
    <row r="14" spans="1:14" s="104" customFormat="1" ht="44.25" customHeight="1">
      <c r="A14" s="428" t="s">
        <v>1252</v>
      </c>
      <c r="B14" s="428" t="s">
        <v>471</v>
      </c>
      <c r="C14" s="285" t="s">
        <v>165</v>
      </c>
      <c r="D14" s="337" t="s">
        <v>436</v>
      </c>
      <c r="E14" s="412" t="s">
        <v>1253</v>
      </c>
      <c r="F14" s="405" t="s">
        <v>1276</v>
      </c>
      <c r="G14" s="75"/>
      <c r="H14" s="75">
        <f>10500000-124445+5719753+661373</f>
        <v>16756681</v>
      </c>
      <c r="I14" s="75">
        <f>G14+H14</f>
        <v>16756681</v>
      </c>
      <c r="J14" s="144"/>
      <c r="K14" s="113"/>
      <c r="N14" s="158"/>
    </row>
    <row r="15" spans="1:14" s="104" customFormat="1" ht="48" customHeight="1" hidden="1">
      <c r="A15" s="337"/>
      <c r="B15" s="337" t="s">
        <v>1059</v>
      </c>
      <c r="C15" s="285" t="s">
        <v>165</v>
      </c>
      <c r="D15" s="337" t="s">
        <v>436</v>
      </c>
      <c r="E15" s="206" t="s">
        <v>1181</v>
      </c>
      <c r="F15" s="398" t="s">
        <v>1212</v>
      </c>
      <c r="G15" s="83"/>
      <c r="H15" s="83"/>
      <c r="I15" s="83"/>
      <c r="J15" s="144"/>
      <c r="K15" s="113"/>
      <c r="N15" s="158"/>
    </row>
    <row r="16" spans="1:14" s="104" customFormat="1" ht="15.75" customHeight="1">
      <c r="A16" s="207" t="s">
        <v>557</v>
      </c>
      <c r="B16" s="207" t="s">
        <v>1061</v>
      </c>
      <c r="C16" s="207" t="s">
        <v>558</v>
      </c>
      <c r="D16" s="207"/>
      <c r="E16" s="208" t="s">
        <v>559</v>
      </c>
      <c r="F16" s="199"/>
      <c r="G16" s="83">
        <f>G17</f>
        <v>10409505</v>
      </c>
      <c r="H16" s="83">
        <f>H17</f>
        <v>5864355</v>
      </c>
      <c r="I16" s="83">
        <f>I17</f>
        <v>16273860</v>
      </c>
      <c r="J16" s="144">
        <f>J17</f>
        <v>0</v>
      </c>
      <c r="K16" s="113"/>
      <c r="N16" s="158"/>
    </row>
    <row r="17" spans="1:14" s="104" customFormat="1" ht="15.75" customHeight="1">
      <c r="A17" s="337" t="s">
        <v>549</v>
      </c>
      <c r="B17" s="337" t="s">
        <v>1062</v>
      </c>
      <c r="C17" s="285"/>
      <c r="D17" s="337"/>
      <c r="E17" s="210" t="s">
        <v>560</v>
      </c>
      <c r="F17" s="199"/>
      <c r="G17" s="75">
        <f>G18+G19</f>
        <v>10409505</v>
      </c>
      <c r="H17" s="75">
        <f>H18+H19</f>
        <v>5864355</v>
      </c>
      <c r="I17" s="75">
        <f aca="true" t="shared" si="0" ref="I17:I22">G17+H17</f>
        <v>16273860</v>
      </c>
      <c r="J17" s="144">
        <f>J18+J19</f>
        <v>0</v>
      </c>
      <c r="K17" s="113"/>
      <c r="N17" s="158"/>
    </row>
    <row r="18" spans="1:15" s="104" customFormat="1" ht="66" customHeight="1">
      <c r="A18" s="337" t="s">
        <v>550</v>
      </c>
      <c r="B18" s="337" t="s">
        <v>1063</v>
      </c>
      <c r="C18" s="285" t="s">
        <v>31</v>
      </c>
      <c r="D18" s="337" t="s">
        <v>437</v>
      </c>
      <c r="E18" s="231" t="s">
        <v>561</v>
      </c>
      <c r="F18" s="412" t="s">
        <v>1267</v>
      </c>
      <c r="G18" s="75">
        <f>7826760+1682745</f>
        <v>9509505</v>
      </c>
      <c r="H18" s="75">
        <f>3437510+2376945+49900</f>
        <v>5864355</v>
      </c>
      <c r="I18" s="75">
        <f t="shared" si="0"/>
        <v>15373860</v>
      </c>
      <c r="J18" s="236"/>
      <c r="K18" s="113"/>
      <c r="N18" s="114"/>
      <c r="O18" s="115"/>
    </row>
    <row r="19" spans="1:14" s="104" customFormat="1" ht="54" customHeight="1">
      <c r="A19" s="337" t="s">
        <v>562</v>
      </c>
      <c r="B19" s="337" t="s">
        <v>1064</v>
      </c>
      <c r="C19" s="285">
        <v>120201</v>
      </c>
      <c r="D19" s="392" t="s">
        <v>437</v>
      </c>
      <c r="E19" s="398" t="s">
        <v>563</v>
      </c>
      <c r="F19" s="192" t="s">
        <v>538</v>
      </c>
      <c r="G19" s="75">
        <v>900000</v>
      </c>
      <c r="H19" s="75"/>
      <c r="I19" s="75">
        <f t="shared" si="0"/>
        <v>900000</v>
      </c>
      <c r="J19" s="236"/>
      <c r="K19" s="106"/>
      <c r="N19" s="158"/>
    </row>
    <row r="20" spans="1:14" s="104" customFormat="1" ht="15.75" customHeight="1" hidden="1">
      <c r="A20" s="207" t="s">
        <v>567</v>
      </c>
      <c r="B20" s="207" t="s">
        <v>1065</v>
      </c>
      <c r="C20" s="207" t="s">
        <v>568</v>
      </c>
      <c r="D20" s="207"/>
      <c r="E20" s="208" t="s">
        <v>569</v>
      </c>
      <c r="F20" s="199"/>
      <c r="G20" s="75">
        <f>G21+G22</f>
        <v>0</v>
      </c>
      <c r="H20" s="75">
        <f>H21+H22</f>
        <v>0</v>
      </c>
      <c r="I20" s="75">
        <f t="shared" si="0"/>
        <v>0</v>
      </c>
      <c r="J20" s="236">
        <f>J21+J22</f>
        <v>0</v>
      </c>
      <c r="K20" s="106"/>
      <c r="N20" s="158"/>
    </row>
    <row r="21" spans="1:14" s="104" customFormat="1" ht="31.5" customHeight="1" hidden="1">
      <c r="A21" s="257" t="s">
        <v>570</v>
      </c>
      <c r="B21" s="257" t="s">
        <v>1066</v>
      </c>
      <c r="C21" s="307" t="s">
        <v>84</v>
      </c>
      <c r="D21" s="214" t="s">
        <v>438</v>
      </c>
      <c r="E21" s="206" t="s">
        <v>571</v>
      </c>
      <c r="F21" s="199"/>
      <c r="G21" s="75"/>
      <c r="H21" s="75"/>
      <c r="I21" s="75">
        <f t="shared" si="0"/>
        <v>0</v>
      </c>
      <c r="J21" s="236"/>
      <c r="K21" s="106"/>
      <c r="N21" s="158"/>
    </row>
    <row r="22" spans="1:14" s="104" customFormat="1" ht="157.5" customHeight="1" hidden="1">
      <c r="A22" s="257" t="s">
        <v>572</v>
      </c>
      <c r="B22" s="257" t="s">
        <v>1067</v>
      </c>
      <c r="C22" s="214" t="s">
        <v>211</v>
      </c>
      <c r="D22" s="214" t="s">
        <v>448</v>
      </c>
      <c r="E22" s="206" t="s">
        <v>212</v>
      </c>
      <c r="F22" s="199"/>
      <c r="G22" s="75"/>
      <c r="H22" s="75"/>
      <c r="I22" s="75">
        <f t="shared" si="0"/>
        <v>0</v>
      </c>
      <c r="J22" s="236"/>
      <c r="K22" s="106"/>
      <c r="N22" s="158"/>
    </row>
    <row r="23" spans="1:14" s="104" customFormat="1" ht="15.75" customHeight="1" hidden="1">
      <c r="A23" s="207" t="s">
        <v>564</v>
      </c>
      <c r="B23" s="207" t="s">
        <v>1068</v>
      </c>
      <c r="C23" s="207" t="s">
        <v>565</v>
      </c>
      <c r="D23" s="207"/>
      <c r="E23" s="208" t="s">
        <v>566</v>
      </c>
      <c r="F23" s="199"/>
      <c r="G23" s="75">
        <f>G24</f>
        <v>0</v>
      </c>
      <c r="H23" s="75">
        <f>H24</f>
        <v>0</v>
      </c>
      <c r="I23" s="75">
        <f>I24</f>
        <v>0</v>
      </c>
      <c r="J23" s="236">
        <f>J24</f>
        <v>0</v>
      </c>
      <c r="K23" s="106"/>
      <c r="N23" s="158"/>
    </row>
    <row r="24" spans="1:14" s="104" customFormat="1" ht="63.75" customHeight="1" hidden="1">
      <c r="A24" s="198" t="s">
        <v>551</v>
      </c>
      <c r="B24" s="198" t="s">
        <v>1069</v>
      </c>
      <c r="C24" s="198" t="s">
        <v>98</v>
      </c>
      <c r="D24" s="198" t="s">
        <v>438</v>
      </c>
      <c r="E24" s="206" t="s">
        <v>804</v>
      </c>
      <c r="F24" s="190" t="s">
        <v>537</v>
      </c>
      <c r="G24" s="75"/>
      <c r="H24" s="75"/>
      <c r="I24" s="75">
        <f>G24+H24</f>
        <v>0</v>
      </c>
      <c r="J24" s="236"/>
      <c r="K24" s="113"/>
      <c r="N24" s="158"/>
    </row>
    <row r="25" spans="1:14" s="104" customFormat="1" ht="15.75" customHeight="1">
      <c r="A25" s="207" t="s">
        <v>579</v>
      </c>
      <c r="B25" s="207" t="s">
        <v>1070</v>
      </c>
      <c r="C25" s="207" t="s">
        <v>580</v>
      </c>
      <c r="D25" s="207"/>
      <c r="E25" s="208" t="s">
        <v>581</v>
      </c>
      <c r="F25" s="197"/>
      <c r="G25" s="83">
        <f>G26</f>
        <v>17748231</v>
      </c>
      <c r="H25" s="83">
        <f>H26</f>
        <v>19648766</v>
      </c>
      <c r="I25" s="83">
        <f>I26</f>
        <v>37396997</v>
      </c>
      <c r="J25" s="236">
        <f>J26</f>
        <v>0</v>
      </c>
      <c r="K25" s="113"/>
      <c r="N25" s="158"/>
    </row>
    <row r="26" spans="1:14" s="104" customFormat="1" ht="15.75" customHeight="1" hidden="1">
      <c r="A26" s="198" t="s">
        <v>582</v>
      </c>
      <c r="B26" s="198" t="s">
        <v>1071</v>
      </c>
      <c r="C26" s="198" t="s">
        <v>77</v>
      </c>
      <c r="D26" s="214"/>
      <c r="E26" s="398"/>
      <c r="F26" s="197"/>
      <c r="G26" s="75">
        <f>G27+G28+G29+G30+G32+G34+G31+G33+G35</f>
        <v>17748231</v>
      </c>
      <c r="H26" s="75">
        <f>H27+H28+H29+H30+H32+H34+H31+H33+H35</f>
        <v>19648766</v>
      </c>
      <c r="I26" s="75">
        <f>I27+I28+I29+I30+I32+I34+I31+I33+I35</f>
        <v>37396997</v>
      </c>
      <c r="J26" s="236">
        <f>J27+J28+J29+J30+J32+J34+J31</f>
        <v>0</v>
      </c>
      <c r="K26" s="113"/>
      <c r="N26" s="158"/>
    </row>
    <row r="27" spans="1:14" s="104" customFormat="1" ht="63">
      <c r="A27" s="145" t="s">
        <v>582</v>
      </c>
      <c r="B27" s="392" t="s">
        <v>1071</v>
      </c>
      <c r="C27" s="395" t="s">
        <v>77</v>
      </c>
      <c r="D27" s="392" t="s">
        <v>439</v>
      </c>
      <c r="E27" s="159" t="s">
        <v>92</v>
      </c>
      <c r="F27" s="398" t="s">
        <v>1211</v>
      </c>
      <c r="G27" s="75">
        <f>5271980+181717-37</f>
        <v>5453660</v>
      </c>
      <c r="H27" s="75"/>
      <c r="I27" s="75">
        <f aca="true" t="shared" si="1" ref="I27:I35">G27+H27</f>
        <v>5453660</v>
      </c>
      <c r="J27" s="236"/>
      <c r="K27" s="113"/>
      <c r="N27" s="158"/>
    </row>
    <row r="28" spans="1:14" s="104" customFormat="1" ht="47.25" customHeight="1" hidden="1">
      <c r="A28" s="145" t="s">
        <v>582</v>
      </c>
      <c r="B28" s="392" t="s">
        <v>1071</v>
      </c>
      <c r="C28" s="395" t="s">
        <v>77</v>
      </c>
      <c r="D28" s="392" t="s">
        <v>439</v>
      </c>
      <c r="E28" s="159" t="s">
        <v>92</v>
      </c>
      <c r="F28" s="197" t="s">
        <v>492</v>
      </c>
      <c r="G28" s="75"/>
      <c r="H28" s="75"/>
      <c r="I28" s="75">
        <f t="shared" si="1"/>
        <v>0</v>
      </c>
      <c r="J28" s="236"/>
      <c r="K28" s="113"/>
      <c r="N28" s="158"/>
    </row>
    <row r="29" spans="1:14" s="104" customFormat="1" ht="47.25" customHeight="1" hidden="1">
      <c r="A29" s="145" t="s">
        <v>582</v>
      </c>
      <c r="B29" s="392" t="s">
        <v>1071</v>
      </c>
      <c r="C29" s="395" t="s">
        <v>77</v>
      </c>
      <c r="D29" s="392" t="s">
        <v>439</v>
      </c>
      <c r="E29" s="159" t="s">
        <v>92</v>
      </c>
      <c r="F29" s="197"/>
      <c r="G29" s="75"/>
      <c r="H29" s="75"/>
      <c r="I29" s="75">
        <f t="shared" si="1"/>
        <v>0</v>
      </c>
      <c r="J29" s="236"/>
      <c r="K29" s="113"/>
      <c r="N29" s="158"/>
    </row>
    <row r="30" spans="1:14" s="104" customFormat="1" ht="47.25" customHeight="1">
      <c r="A30" s="145" t="s">
        <v>582</v>
      </c>
      <c r="B30" s="392" t="s">
        <v>1071</v>
      </c>
      <c r="C30" s="395" t="s">
        <v>77</v>
      </c>
      <c r="D30" s="392" t="s">
        <v>439</v>
      </c>
      <c r="E30" s="159" t="s">
        <v>92</v>
      </c>
      <c r="F30" s="398" t="s">
        <v>1183</v>
      </c>
      <c r="G30" s="75">
        <v>324855</v>
      </c>
      <c r="H30" s="75"/>
      <c r="I30" s="75">
        <f t="shared" si="1"/>
        <v>324855</v>
      </c>
      <c r="J30" s="236"/>
      <c r="K30" s="113"/>
      <c r="N30" s="158"/>
    </row>
    <row r="31" spans="1:14" s="104" customFormat="1" ht="63" customHeight="1">
      <c r="A31" s="342" t="s">
        <v>582</v>
      </c>
      <c r="B31" s="406" t="s">
        <v>1071</v>
      </c>
      <c r="C31" s="406" t="s">
        <v>77</v>
      </c>
      <c r="D31" s="406" t="s">
        <v>439</v>
      </c>
      <c r="E31" s="305" t="s">
        <v>92</v>
      </c>
      <c r="F31" s="397" t="s">
        <v>1210</v>
      </c>
      <c r="G31" s="75">
        <v>170000</v>
      </c>
      <c r="H31" s="75"/>
      <c r="I31" s="75">
        <f t="shared" si="1"/>
        <v>170000</v>
      </c>
      <c r="J31" s="236"/>
      <c r="K31" s="113"/>
      <c r="N31" s="158"/>
    </row>
    <row r="32" spans="1:14" s="104" customFormat="1" ht="47.25">
      <c r="A32" s="406" t="s">
        <v>582</v>
      </c>
      <c r="B32" s="406" t="s">
        <v>1071</v>
      </c>
      <c r="C32" s="406" t="s">
        <v>77</v>
      </c>
      <c r="D32" s="406" t="s">
        <v>439</v>
      </c>
      <c r="E32" s="305" t="s">
        <v>92</v>
      </c>
      <c r="F32" s="404" t="s">
        <v>1184</v>
      </c>
      <c r="G32" s="75">
        <f>382771+227078</f>
        <v>609849</v>
      </c>
      <c r="H32" s="75"/>
      <c r="I32" s="75">
        <f t="shared" si="1"/>
        <v>609849</v>
      </c>
      <c r="J32" s="236"/>
      <c r="K32" s="113"/>
      <c r="N32" s="158"/>
    </row>
    <row r="33" spans="1:14" s="104" customFormat="1" ht="47.25">
      <c r="A33" s="392" t="s">
        <v>582</v>
      </c>
      <c r="B33" s="392" t="s">
        <v>1071</v>
      </c>
      <c r="C33" s="395" t="s">
        <v>77</v>
      </c>
      <c r="D33" s="392" t="s">
        <v>439</v>
      </c>
      <c r="E33" s="159" t="s">
        <v>92</v>
      </c>
      <c r="F33" s="399" t="s">
        <v>1227</v>
      </c>
      <c r="G33" s="75">
        <f>200000-61000</f>
        <v>139000</v>
      </c>
      <c r="H33" s="75"/>
      <c r="I33" s="75">
        <f t="shared" si="1"/>
        <v>139000</v>
      </c>
      <c r="J33" s="236"/>
      <c r="K33" s="113"/>
      <c r="N33" s="158"/>
    </row>
    <row r="34" spans="1:14" s="104" customFormat="1" ht="47.25" customHeight="1">
      <c r="A34" s="392" t="s">
        <v>582</v>
      </c>
      <c r="B34" s="392" t="s">
        <v>1071</v>
      </c>
      <c r="C34" s="441" t="s">
        <v>77</v>
      </c>
      <c r="D34" s="392" t="s">
        <v>439</v>
      </c>
      <c r="E34" s="159" t="s">
        <v>92</v>
      </c>
      <c r="F34" s="398" t="s">
        <v>1185</v>
      </c>
      <c r="G34" s="75">
        <f>3739648+3255750</f>
        <v>6995398</v>
      </c>
      <c r="H34" s="75">
        <v>177000</v>
      </c>
      <c r="I34" s="75">
        <f t="shared" si="1"/>
        <v>7172398</v>
      </c>
      <c r="J34" s="236"/>
      <c r="K34" s="113"/>
      <c r="N34" s="158"/>
    </row>
    <row r="35" spans="1:14" s="104" customFormat="1" ht="47.25" customHeight="1">
      <c r="A35" s="392" t="s">
        <v>582</v>
      </c>
      <c r="B35" s="392" t="s">
        <v>1071</v>
      </c>
      <c r="C35" s="442"/>
      <c r="D35" s="392" t="s">
        <v>439</v>
      </c>
      <c r="E35" s="159" t="s">
        <v>92</v>
      </c>
      <c r="F35" s="398" t="s">
        <v>1212</v>
      </c>
      <c r="G35" s="75">
        <v>4055469</v>
      </c>
      <c r="H35" s="75">
        <v>19471766</v>
      </c>
      <c r="I35" s="75">
        <f t="shared" si="1"/>
        <v>23527235</v>
      </c>
      <c r="J35" s="236"/>
      <c r="K35" s="113"/>
      <c r="N35" s="158"/>
    </row>
    <row r="36" spans="1:14" s="104" customFormat="1" ht="15.75" customHeight="1">
      <c r="A36" s="207" t="s">
        <v>573</v>
      </c>
      <c r="B36" s="207" t="s">
        <v>1076</v>
      </c>
      <c r="C36" s="207" t="s">
        <v>574</v>
      </c>
      <c r="D36" s="207"/>
      <c r="E36" s="208" t="s">
        <v>575</v>
      </c>
      <c r="F36" s="197"/>
      <c r="G36" s="83">
        <f>G37</f>
        <v>0</v>
      </c>
      <c r="H36" s="83">
        <f>H37</f>
        <v>387831</v>
      </c>
      <c r="I36" s="83">
        <f>I37</f>
        <v>387831</v>
      </c>
      <c r="J36" s="236">
        <f>J37</f>
        <v>0</v>
      </c>
      <c r="K36" s="113"/>
      <c r="N36" s="158"/>
    </row>
    <row r="37" spans="1:14" s="104" customFormat="1" ht="63" customHeight="1">
      <c r="A37" s="198" t="s">
        <v>576</v>
      </c>
      <c r="B37" s="198" t="s">
        <v>1077</v>
      </c>
      <c r="C37" s="198" t="s">
        <v>71</v>
      </c>
      <c r="D37" s="408" t="s">
        <v>439</v>
      </c>
      <c r="E37" s="206" t="s">
        <v>221</v>
      </c>
      <c r="F37" s="412" t="s">
        <v>1240</v>
      </c>
      <c r="G37" s="75">
        <f>G38</f>
        <v>0</v>
      </c>
      <c r="H37" s="75">
        <f>83150+304681</f>
        <v>387831</v>
      </c>
      <c r="I37" s="75">
        <f>G37+H37</f>
        <v>387831</v>
      </c>
      <c r="J37" s="236">
        <f>J38</f>
        <v>0</v>
      </c>
      <c r="K37" s="113"/>
      <c r="N37" s="158"/>
    </row>
    <row r="38" spans="1:14" s="104" customFormat="1" ht="47.25" customHeight="1" hidden="1">
      <c r="A38" s="337" t="s">
        <v>577</v>
      </c>
      <c r="B38" s="337" t="s">
        <v>1078</v>
      </c>
      <c r="C38" s="285" t="s">
        <v>71</v>
      </c>
      <c r="D38" s="337" t="s">
        <v>439</v>
      </c>
      <c r="E38" s="231" t="s">
        <v>578</v>
      </c>
      <c r="F38" s="398" t="s">
        <v>1213</v>
      </c>
      <c r="G38" s="344"/>
      <c r="H38" s="344">
        <v>83150</v>
      </c>
      <c r="I38" s="344">
        <f>H38+G38</f>
        <v>83150</v>
      </c>
      <c r="J38" s="237"/>
      <c r="K38" s="113"/>
      <c r="N38" s="158"/>
    </row>
    <row r="39" spans="1:14" s="104" customFormat="1" ht="31.5" customHeight="1">
      <c r="A39" s="96"/>
      <c r="B39" s="96" t="s">
        <v>141</v>
      </c>
      <c r="C39" s="96" t="s">
        <v>141</v>
      </c>
      <c r="D39" s="96"/>
      <c r="E39" s="99" t="s">
        <v>530</v>
      </c>
      <c r="F39" s="166"/>
      <c r="G39" s="83">
        <f>G40</f>
        <v>179005320</v>
      </c>
      <c r="H39" s="83">
        <f>H40</f>
        <v>161043331</v>
      </c>
      <c r="I39" s="83">
        <f>I40</f>
        <v>340048651</v>
      </c>
      <c r="J39" s="144">
        <f>J40</f>
        <v>161193</v>
      </c>
      <c r="K39" s="113"/>
      <c r="N39" s="158"/>
    </row>
    <row r="40" spans="1:14" s="104" customFormat="1" ht="30" customHeight="1">
      <c r="A40" s="263" t="s">
        <v>586</v>
      </c>
      <c r="B40" s="263"/>
      <c r="C40" s="263"/>
      <c r="D40" s="263"/>
      <c r="E40" s="212" t="s">
        <v>530</v>
      </c>
      <c r="F40" s="199"/>
      <c r="G40" s="75">
        <f>G41+G43+G70+G73+G78</f>
        <v>179005320</v>
      </c>
      <c r="H40" s="75">
        <f>H41+H43+H70+H73+H78</f>
        <v>161043331</v>
      </c>
      <c r="I40" s="75">
        <f>G40+H40</f>
        <v>340048651</v>
      </c>
      <c r="J40" s="236">
        <f>J41+J43+J70+J73+J78</f>
        <v>161193</v>
      </c>
      <c r="K40" s="106"/>
      <c r="N40" s="158"/>
    </row>
    <row r="41" spans="1:14" s="104" customFormat="1" ht="15.75" customHeight="1" hidden="1">
      <c r="A41" s="308" t="s">
        <v>588</v>
      </c>
      <c r="B41" s="308" t="s">
        <v>1060</v>
      </c>
      <c r="C41" s="308" t="s">
        <v>555</v>
      </c>
      <c r="D41" s="308"/>
      <c r="E41" s="208" t="s">
        <v>556</v>
      </c>
      <c r="F41" s="199"/>
      <c r="G41" s="75">
        <f>G42</f>
        <v>0</v>
      </c>
      <c r="H41" s="75">
        <f>H42</f>
        <v>0</v>
      </c>
      <c r="I41" s="75">
        <f aca="true" t="shared" si="2" ref="I41:I118">G41+H41</f>
        <v>0</v>
      </c>
      <c r="J41" s="236">
        <f>J42</f>
        <v>0</v>
      </c>
      <c r="K41" s="106"/>
      <c r="N41" s="158"/>
    </row>
    <row r="42" spans="1:14" s="104" customFormat="1" ht="31.5" customHeight="1" hidden="1">
      <c r="A42" s="263" t="s">
        <v>587</v>
      </c>
      <c r="B42" s="263" t="s">
        <v>471</v>
      </c>
      <c r="C42" s="263" t="s">
        <v>165</v>
      </c>
      <c r="D42" s="263" t="s">
        <v>436</v>
      </c>
      <c r="E42" s="347" t="s">
        <v>1019</v>
      </c>
      <c r="F42" s="412" t="s">
        <v>1256</v>
      </c>
      <c r="G42" s="75"/>
      <c r="H42" s="75"/>
      <c r="I42" s="75">
        <f t="shared" si="2"/>
        <v>0</v>
      </c>
      <c r="J42" s="236"/>
      <c r="K42" s="113"/>
      <c r="N42" s="158"/>
    </row>
    <row r="43" spans="1:14" s="104" customFormat="1" ht="15.75" customHeight="1">
      <c r="A43" s="207" t="s">
        <v>589</v>
      </c>
      <c r="B43" s="207" t="s">
        <v>1079</v>
      </c>
      <c r="C43" s="207" t="s">
        <v>590</v>
      </c>
      <c r="D43" s="207"/>
      <c r="E43" s="208" t="s">
        <v>591</v>
      </c>
      <c r="F43" s="197"/>
      <c r="G43" s="83">
        <f>G44+G45+G47+G48+G49+G51+G52+G55+G56+G57+G58+G59+G60+G61+G62+G63+G65+G66+G67+G68+G69+G53+G64+G46+G50+G54</f>
        <v>168195848</v>
      </c>
      <c r="H43" s="83">
        <f>H44+H45+H47+H48+H49+H51+H52+H55+H56+H57+H58+H59+H60+H61+H62+H63+H65+H66+H67+H68+H69+H53+H64+H46+H50+H54</f>
        <v>56165506</v>
      </c>
      <c r="I43" s="83">
        <f>I44+I45+I47+I48+I49+I51+I52+I55+I56+I57+I58+I59+I60+I61+I62+I63+I65+I66+I67+I68+I69+I53+I64+I46+I50+I54</f>
        <v>224361354</v>
      </c>
      <c r="J43" s="236">
        <f>J44+J45+J47+J48+J49+J51+J52+J55+J56+J57+J58+J59+J60+J61+J62+J63+J65+J66+J67+J68+J69</f>
        <v>161193</v>
      </c>
      <c r="K43" s="113"/>
      <c r="N43" s="158"/>
    </row>
    <row r="44" spans="1:14" s="104" customFormat="1" ht="33" customHeight="1">
      <c r="A44" s="407" t="s">
        <v>593</v>
      </c>
      <c r="B44" s="407" t="s">
        <v>1080</v>
      </c>
      <c r="C44" s="441" t="s">
        <v>67</v>
      </c>
      <c r="D44" s="407" t="s">
        <v>440</v>
      </c>
      <c r="E44" s="159" t="s">
        <v>592</v>
      </c>
      <c r="F44" s="412" t="s">
        <v>1256</v>
      </c>
      <c r="G44" s="75">
        <f>52237816-6573989+(48000)+(432050)+4000000-1038000-1149703+223532+(361905)</f>
        <v>48541611</v>
      </c>
      <c r="H44" s="75">
        <f>25063114+758478+(260450)-1156115-841560-665040-871500-4063521+(659121)</f>
        <v>19143427</v>
      </c>
      <c r="I44" s="75">
        <f t="shared" si="2"/>
        <v>67685038</v>
      </c>
      <c r="J44" s="236"/>
      <c r="K44" s="113"/>
      <c r="M44" s="115"/>
      <c r="N44" s="114"/>
    </row>
    <row r="45" spans="1:14" s="104" customFormat="1" ht="70.5" customHeight="1" hidden="1">
      <c r="A45" s="407" t="s">
        <v>593</v>
      </c>
      <c r="B45" s="407" t="s">
        <v>1080</v>
      </c>
      <c r="C45" s="448"/>
      <c r="D45" s="407" t="s">
        <v>440</v>
      </c>
      <c r="E45" s="159" t="s">
        <v>592</v>
      </c>
      <c r="F45" s="166" t="s">
        <v>475</v>
      </c>
      <c r="G45" s="75"/>
      <c r="H45" s="75"/>
      <c r="I45" s="75">
        <f t="shared" si="2"/>
        <v>0</v>
      </c>
      <c r="J45" s="236"/>
      <c r="K45" s="113"/>
      <c r="M45" s="115"/>
      <c r="N45" s="114"/>
    </row>
    <row r="46" spans="1:14" s="104" customFormat="1" ht="54.75" customHeight="1">
      <c r="A46" s="407" t="s">
        <v>593</v>
      </c>
      <c r="B46" s="407" t="s">
        <v>1080</v>
      </c>
      <c r="C46" s="448"/>
      <c r="D46" s="407" t="s">
        <v>440</v>
      </c>
      <c r="E46" s="159" t="s">
        <v>592</v>
      </c>
      <c r="F46" s="403" t="s">
        <v>1231</v>
      </c>
      <c r="G46" s="75">
        <f>3200000+9800000-5000000</f>
        <v>8000000</v>
      </c>
      <c r="H46" s="75"/>
      <c r="I46" s="75">
        <f t="shared" si="2"/>
        <v>8000000</v>
      </c>
      <c r="J46" s="236"/>
      <c r="K46" s="113"/>
      <c r="M46" s="115"/>
      <c r="N46" s="114"/>
    </row>
    <row r="47" spans="1:14" s="104" customFormat="1" ht="47.25">
      <c r="A47" s="407" t="s">
        <v>593</v>
      </c>
      <c r="B47" s="407" t="s">
        <v>1080</v>
      </c>
      <c r="C47" s="442"/>
      <c r="D47" s="407" t="s">
        <v>440</v>
      </c>
      <c r="E47" s="159" t="s">
        <v>592</v>
      </c>
      <c r="F47" s="100" t="s">
        <v>1280</v>
      </c>
      <c r="G47" s="365">
        <f>122020+30000+159700-23600+140610+100490-1400+185462+228884+10000+14430+121665+50000+43000+134000+3000+48623+200800+20000+198500</f>
        <v>1786184</v>
      </c>
      <c r="H47" s="365">
        <f>24900+96800+23600+243400-5000+5000+129000+85000+64485+41565+20000+36900+65000-3000+27877+40000+62000</f>
        <v>957527</v>
      </c>
      <c r="I47" s="365">
        <f t="shared" si="2"/>
        <v>2743711</v>
      </c>
      <c r="J47" s="238"/>
      <c r="K47" s="106"/>
      <c r="N47" s="158"/>
    </row>
    <row r="48" spans="1:14" s="104" customFormat="1" ht="60.75" customHeight="1">
      <c r="A48" s="263" t="s">
        <v>594</v>
      </c>
      <c r="B48" s="418" t="s">
        <v>455</v>
      </c>
      <c r="C48" s="445" t="s">
        <v>68</v>
      </c>
      <c r="D48" s="263" t="s">
        <v>441</v>
      </c>
      <c r="E48" s="425" t="s">
        <v>595</v>
      </c>
      <c r="F48" s="412" t="s">
        <v>1256</v>
      </c>
      <c r="G48" s="75">
        <f>44973762-735315+(39800)+(225400)+6000000-2117283-626419-618241+(1101325)</f>
        <v>48243029</v>
      </c>
      <c r="H48" s="75">
        <f>9658098-220917+(23000)+(1769000)+2415170+272264+103335+2127373+306682+7727040+(3054304-20000)</f>
        <v>27215349</v>
      </c>
      <c r="I48" s="75">
        <f t="shared" si="2"/>
        <v>75458378</v>
      </c>
      <c r="J48" s="236"/>
      <c r="K48" s="113"/>
      <c r="L48" s="115"/>
      <c r="M48" s="115"/>
      <c r="N48" s="158"/>
    </row>
    <row r="49" spans="1:14" s="104" customFormat="1" ht="61.5" customHeight="1">
      <c r="A49" s="263" t="s">
        <v>594</v>
      </c>
      <c r="B49" s="418" t="s">
        <v>455</v>
      </c>
      <c r="C49" s="445"/>
      <c r="D49" s="263" t="s">
        <v>441</v>
      </c>
      <c r="E49" s="425" t="s">
        <v>595</v>
      </c>
      <c r="F49" s="412" t="s">
        <v>1261</v>
      </c>
      <c r="G49" s="75">
        <v>845902</v>
      </c>
      <c r="H49" s="75">
        <v>161193</v>
      </c>
      <c r="I49" s="75">
        <f t="shared" si="2"/>
        <v>1007095</v>
      </c>
      <c r="J49" s="236">
        <v>161193</v>
      </c>
      <c r="K49" s="106"/>
      <c r="N49" s="158"/>
    </row>
    <row r="50" spans="1:14" s="104" customFormat="1" ht="60" customHeight="1">
      <c r="A50" s="445" t="s">
        <v>594</v>
      </c>
      <c r="B50" s="418" t="s">
        <v>455</v>
      </c>
      <c r="C50" s="445"/>
      <c r="D50" s="263" t="s">
        <v>441</v>
      </c>
      <c r="E50" s="425" t="s">
        <v>595</v>
      </c>
      <c r="F50" s="403" t="s">
        <v>1231</v>
      </c>
      <c r="G50" s="75">
        <f>3300000+23700000-15000000</f>
        <v>12000000</v>
      </c>
      <c r="H50" s="75"/>
      <c r="I50" s="75">
        <f t="shared" si="2"/>
        <v>12000000</v>
      </c>
      <c r="J50" s="236"/>
      <c r="K50" s="106"/>
      <c r="N50" s="158"/>
    </row>
    <row r="51" spans="1:14" s="104" customFormat="1" ht="75.75" customHeight="1" hidden="1">
      <c r="A51" s="445"/>
      <c r="B51" s="418" t="s">
        <v>455</v>
      </c>
      <c r="C51" s="445"/>
      <c r="D51" s="263" t="s">
        <v>441</v>
      </c>
      <c r="E51" s="425" t="s">
        <v>595</v>
      </c>
      <c r="F51" s="167" t="s">
        <v>475</v>
      </c>
      <c r="G51" s="75"/>
      <c r="H51" s="75"/>
      <c r="I51" s="75">
        <f t="shared" si="2"/>
        <v>0</v>
      </c>
      <c r="J51" s="236"/>
      <c r="K51" s="106"/>
      <c r="N51" s="158"/>
    </row>
    <row r="52" spans="1:14" s="104" customFormat="1" ht="62.25" customHeight="1">
      <c r="A52" s="263" t="s">
        <v>594</v>
      </c>
      <c r="B52" s="418" t="s">
        <v>455</v>
      </c>
      <c r="C52" s="445"/>
      <c r="D52" s="263" t="s">
        <v>441</v>
      </c>
      <c r="E52" s="425" t="s">
        <v>595</v>
      </c>
      <c r="F52" s="100" t="s">
        <v>1280</v>
      </c>
      <c r="G52" s="365">
        <f>285000+55921+336000+384797+101750+30000+526998+301800+265788+100800+10000+97000+711566+523752+596566+20000+215000</f>
        <v>4562738</v>
      </c>
      <c r="H52" s="365">
        <f>175000+128411+407200+99900+140000-20000+426589+58380+92556+195000+45000+141043+2048+47834+11000</f>
        <v>1949961</v>
      </c>
      <c r="I52" s="365">
        <f t="shared" si="2"/>
        <v>6512699</v>
      </c>
      <c r="J52" s="238"/>
      <c r="K52" s="106"/>
      <c r="N52" s="158"/>
    </row>
    <row r="53" spans="1:14" s="104" customFormat="1" ht="78.75">
      <c r="A53" s="263" t="s">
        <v>594</v>
      </c>
      <c r="B53" s="418" t="s">
        <v>455</v>
      </c>
      <c r="C53" s="445"/>
      <c r="D53" s="263" t="s">
        <v>441</v>
      </c>
      <c r="E53" s="425" t="s">
        <v>595</v>
      </c>
      <c r="F53" s="403" t="s">
        <v>1230</v>
      </c>
      <c r="G53" s="366">
        <v>105960</v>
      </c>
      <c r="H53" s="366">
        <v>58000</v>
      </c>
      <c r="I53" s="366">
        <f t="shared" si="2"/>
        <v>163960</v>
      </c>
      <c r="J53" s="238"/>
      <c r="K53" s="106"/>
      <c r="N53" s="158"/>
    </row>
    <row r="54" spans="1:14" s="104" customFormat="1" ht="78.75">
      <c r="A54" s="263" t="s">
        <v>1249</v>
      </c>
      <c r="B54" s="263" t="s">
        <v>458</v>
      </c>
      <c r="C54" s="263"/>
      <c r="D54" s="263" t="s">
        <v>623</v>
      </c>
      <c r="E54" s="425" t="s">
        <v>1250</v>
      </c>
      <c r="F54" s="412" t="s">
        <v>1256</v>
      </c>
      <c r="G54" s="366"/>
      <c r="H54" s="366">
        <v>2894711</v>
      </c>
      <c r="I54" s="366">
        <f t="shared" si="2"/>
        <v>2894711</v>
      </c>
      <c r="J54" s="238"/>
      <c r="K54" s="106"/>
      <c r="N54" s="158"/>
    </row>
    <row r="55" spans="1:14" s="104" customFormat="1" ht="35.25" customHeight="1">
      <c r="A55" s="260">
        <v>1011030</v>
      </c>
      <c r="B55" s="439" t="s">
        <v>456</v>
      </c>
      <c r="C55" s="439" t="s">
        <v>69</v>
      </c>
      <c r="D55" s="439" t="s">
        <v>441</v>
      </c>
      <c r="E55" s="450" t="s">
        <v>596</v>
      </c>
      <c r="F55" s="412" t="s">
        <v>1256</v>
      </c>
      <c r="G55" s="75">
        <f>54152+1740</f>
        <v>55892</v>
      </c>
      <c r="H55" s="75">
        <f>(20000)</f>
        <v>20000</v>
      </c>
      <c r="I55" s="75">
        <f t="shared" si="2"/>
        <v>75892</v>
      </c>
      <c r="J55" s="236"/>
      <c r="K55" s="113"/>
      <c r="M55" s="115"/>
      <c r="N55" s="158"/>
    </row>
    <row r="56" spans="1:14" s="104" customFormat="1" ht="47.25" customHeight="1" hidden="1">
      <c r="A56" s="260">
        <v>1011030</v>
      </c>
      <c r="B56" s="440"/>
      <c r="C56" s="440"/>
      <c r="D56" s="446"/>
      <c r="E56" s="451"/>
      <c r="F56" s="100" t="s">
        <v>1280</v>
      </c>
      <c r="G56" s="365"/>
      <c r="H56" s="365"/>
      <c r="I56" s="365">
        <f t="shared" si="2"/>
        <v>0</v>
      </c>
      <c r="J56" s="238"/>
      <c r="K56" s="113"/>
      <c r="N56" s="158"/>
    </row>
    <row r="57" spans="1:14" s="104" customFormat="1" ht="50.25" customHeight="1">
      <c r="A57" s="337" t="s">
        <v>597</v>
      </c>
      <c r="B57" s="337" t="s">
        <v>457</v>
      </c>
      <c r="C57" s="285" t="s">
        <v>26</v>
      </c>
      <c r="D57" s="439" t="s">
        <v>442</v>
      </c>
      <c r="E57" s="145" t="s">
        <v>598</v>
      </c>
      <c r="F57" s="412" t="s">
        <v>1256</v>
      </c>
      <c r="G57" s="75">
        <f>316856+99856+40000+(7000)</f>
        <v>463712</v>
      </c>
      <c r="H57" s="75">
        <f>726958+457320+(23000)</f>
        <v>1207278</v>
      </c>
      <c r="I57" s="75">
        <f t="shared" si="2"/>
        <v>1670990</v>
      </c>
      <c r="J57" s="236"/>
      <c r="K57" s="113"/>
      <c r="N57" s="158"/>
    </row>
    <row r="58" spans="1:14" s="104" customFormat="1" ht="72" customHeight="1" hidden="1">
      <c r="A58" s="337" t="s">
        <v>597</v>
      </c>
      <c r="B58" s="337" t="s">
        <v>457</v>
      </c>
      <c r="C58" s="285" t="s">
        <v>26</v>
      </c>
      <c r="D58" s="446" t="s">
        <v>1233</v>
      </c>
      <c r="E58" s="145" t="s">
        <v>598</v>
      </c>
      <c r="F58" s="166" t="s">
        <v>475</v>
      </c>
      <c r="G58" s="75"/>
      <c r="H58" s="75"/>
      <c r="I58" s="75">
        <f t="shared" si="2"/>
        <v>0</v>
      </c>
      <c r="J58" s="236"/>
      <c r="K58" s="113"/>
      <c r="N58" s="158"/>
    </row>
    <row r="59" spans="1:15" s="104" customFormat="1" ht="47.25">
      <c r="A59" s="337" t="s">
        <v>597</v>
      </c>
      <c r="B59" s="337" t="s">
        <v>457</v>
      </c>
      <c r="C59" s="285" t="s">
        <v>26</v>
      </c>
      <c r="D59" s="260" t="s">
        <v>442</v>
      </c>
      <c r="E59" s="145" t="s">
        <v>598</v>
      </c>
      <c r="F59" s="100" t="s">
        <v>1280</v>
      </c>
      <c r="G59" s="86">
        <f>129800+2500+43700+28400+4000+13360+7000+42350+31000+25000</f>
        <v>327110</v>
      </c>
      <c r="H59" s="86">
        <f>41000+10000+30000+8000+10000+16540+25000+10000+109000</f>
        <v>259540</v>
      </c>
      <c r="I59" s="86">
        <f t="shared" si="2"/>
        <v>586650</v>
      </c>
      <c r="J59" s="239"/>
      <c r="K59" s="106"/>
      <c r="N59" s="114"/>
      <c r="O59" s="115"/>
    </row>
    <row r="60" spans="1:15" s="104" customFormat="1" ht="54.75" customHeight="1" hidden="1">
      <c r="A60" s="337" t="s">
        <v>597</v>
      </c>
      <c r="B60" s="337" t="s">
        <v>457</v>
      </c>
      <c r="C60" s="285" t="s">
        <v>26</v>
      </c>
      <c r="D60" s="419"/>
      <c r="E60" s="145" t="s">
        <v>598</v>
      </c>
      <c r="F60" s="166" t="s">
        <v>14</v>
      </c>
      <c r="G60" s="75"/>
      <c r="H60" s="75"/>
      <c r="I60" s="75">
        <f t="shared" si="2"/>
        <v>0</v>
      </c>
      <c r="J60" s="240"/>
      <c r="K60" s="106"/>
      <c r="N60" s="114"/>
      <c r="O60" s="115"/>
    </row>
    <row r="61" spans="1:14" s="104" customFormat="1" ht="49.5" customHeight="1">
      <c r="A61" s="263" t="s">
        <v>599</v>
      </c>
      <c r="B61" s="263" t="s">
        <v>1081</v>
      </c>
      <c r="C61" s="260" t="s">
        <v>485</v>
      </c>
      <c r="D61" s="263" t="s">
        <v>486</v>
      </c>
      <c r="E61" s="342" t="s">
        <v>1262</v>
      </c>
      <c r="F61" s="412" t="s">
        <v>1263</v>
      </c>
      <c r="G61" s="75">
        <f>42596946+470876-82476</f>
        <v>42985346</v>
      </c>
      <c r="H61" s="75">
        <f>128124+82476</f>
        <v>210600</v>
      </c>
      <c r="I61" s="75">
        <f t="shared" si="2"/>
        <v>43195946</v>
      </c>
      <c r="J61" s="240"/>
      <c r="K61" s="106"/>
      <c r="N61" s="158"/>
    </row>
    <row r="62" spans="1:14" s="104" customFormat="1" ht="48" customHeight="1">
      <c r="A62" s="263" t="s">
        <v>599</v>
      </c>
      <c r="B62" s="263" t="s">
        <v>1081</v>
      </c>
      <c r="C62" s="263" t="s">
        <v>485</v>
      </c>
      <c r="D62" s="263" t="s">
        <v>486</v>
      </c>
      <c r="E62" s="342" t="s">
        <v>600</v>
      </c>
      <c r="F62" s="100" t="s">
        <v>1280</v>
      </c>
      <c r="G62" s="86">
        <f>108000+12500+41000+70000+2210</f>
        <v>233710</v>
      </c>
      <c r="H62" s="86">
        <f>50000+7500+20000+21000+16290+50000</f>
        <v>164790</v>
      </c>
      <c r="I62" s="86">
        <f t="shared" si="2"/>
        <v>398500</v>
      </c>
      <c r="J62" s="239"/>
      <c r="K62" s="106"/>
      <c r="N62" s="158"/>
    </row>
    <row r="63" spans="1:14" s="104" customFormat="1" ht="41.25" customHeight="1" hidden="1">
      <c r="A63" s="407" t="s">
        <v>601</v>
      </c>
      <c r="B63" s="407" t="s">
        <v>1082</v>
      </c>
      <c r="C63" s="447" t="s">
        <v>276</v>
      </c>
      <c r="D63" s="145" t="s">
        <v>443</v>
      </c>
      <c r="E63" s="159" t="s">
        <v>602</v>
      </c>
      <c r="F63" s="412" t="s">
        <v>1256</v>
      </c>
      <c r="G63" s="75"/>
      <c r="H63" s="75"/>
      <c r="I63" s="75">
        <f t="shared" si="2"/>
        <v>0</v>
      </c>
      <c r="J63" s="240"/>
      <c r="K63" s="106"/>
      <c r="N63" s="158"/>
    </row>
    <row r="64" spans="1:14" s="104" customFormat="1" ht="45" customHeight="1">
      <c r="A64" s="407" t="s">
        <v>601</v>
      </c>
      <c r="B64" s="407" t="s">
        <v>1082</v>
      </c>
      <c r="C64" s="447"/>
      <c r="D64" s="145" t="s">
        <v>443</v>
      </c>
      <c r="E64" s="159" t="s">
        <v>602</v>
      </c>
      <c r="F64" s="403" t="s">
        <v>1230</v>
      </c>
      <c r="G64" s="75">
        <v>24654</v>
      </c>
      <c r="H64" s="75"/>
      <c r="I64" s="75">
        <f t="shared" si="2"/>
        <v>24654</v>
      </c>
      <c r="J64" s="240"/>
      <c r="K64" s="106"/>
      <c r="N64" s="158"/>
    </row>
    <row r="65" spans="1:14" s="104" customFormat="1" ht="47.25" customHeight="1">
      <c r="A65" s="198" t="s">
        <v>603</v>
      </c>
      <c r="B65" s="198" t="s">
        <v>1083</v>
      </c>
      <c r="C65" s="198" t="s">
        <v>367</v>
      </c>
      <c r="D65" s="198" t="s">
        <v>443</v>
      </c>
      <c r="E65" s="206" t="s">
        <v>604</v>
      </c>
      <c r="F65" s="412" t="s">
        <v>1256</v>
      </c>
      <c r="G65" s="75">
        <v>20000</v>
      </c>
      <c r="H65" s="75">
        <f>8456</f>
        <v>8456</v>
      </c>
      <c r="I65" s="75">
        <f t="shared" si="2"/>
        <v>28456</v>
      </c>
      <c r="J65" s="240"/>
      <c r="K65" s="106"/>
      <c r="N65" s="158"/>
    </row>
    <row r="66" spans="1:14" s="104" customFormat="1" ht="31.5" customHeight="1">
      <c r="A66" s="198" t="s">
        <v>605</v>
      </c>
      <c r="B66" s="198" t="s">
        <v>1084</v>
      </c>
      <c r="C66" s="198" t="s">
        <v>283</v>
      </c>
      <c r="D66" s="198" t="s">
        <v>443</v>
      </c>
      <c r="E66" s="206" t="s">
        <v>606</v>
      </c>
      <c r="F66" s="412" t="s">
        <v>1256</v>
      </c>
      <c r="G66" s="75"/>
      <c r="H66" s="75">
        <f>1508000+11250</f>
        <v>1519250</v>
      </c>
      <c r="I66" s="75">
        <f t="shared" si="2"/>
        <v>1519250</v>
      </c>
      <c r="J66" s="240"/>
      <c r="K66" s="113"/>
      <c r="M66" s="115"/>
      <c r="N66" s="158"/>
    </row>
    <row r="67" spans="1:14" s="104" customFormat="1" ht="36" customHeight="1" hidden="1">
      <c r="A67" s="198" t="s">
        <v>607</v>
      </c>
      <c r="B67" s="198" t="s">
        <v>1085</v>
      </c>
      <c r="C67" s="198" t="s">
        <v>277</v>
      </c>
      <c r="D67" s="198" t="s">
        <v>443</v>
      </c>
      <c r="E67" s="206" t="s">
        <v>608</v>
      </c>
      <c r="F67" s="412" t="s">
        <v>1256</v>
      </c>
      <c r="G67" s="75"/>
      <c r="H67" s="75"/>
      <c r="I67" s="75">
        <f t="shared" si="2"/>
        <v>0</v>
      </c>
      <c r="J67" s="240"/>
      <c r="K67" s="106"/>
      <c r="N67" s="158"/>
    </row>
    <row r="68" spans="1:14" s="104" customFormat="1" ht="33.75" customHeight="1">
      <c r="A68" s="337" t="s">
        <v>609</v>
      </c>
      <c r="B68" s="441" t="s">
        <v>1086</v>
      </c>
      <c r="C68" s="441" t="s">
        <v>126</v>
      </c>
      <c r="D68" s="441" t="s">
        <v>443</v>
      </c>
      <c r="E68" s="441" t="s">
        <v>610</v>
      </c>
      <c r="F68" s="412" t="s">
        <v>1256</v>
      </c>
      <c r="G68" s="75"/>
      <c r="H68" s="75">
        <v>395424</v>
      </c>
      <c r="I68" s="75">
        <f t="shared" si="2"/>
        <v>395424</v>
      </c>
      <c r="J68" s="240"/>
      <c r="K68" s="106"/>
      <c r="N68" s="158"/>
    </row>
    <row r="69" spans="1:14" s="104" customFormat="1" ht="51" customHeight="1" hidden="1">
      <c r="A69" s="337" t="s">
        <v>609</v>
      </c>
      <c r="B69" s="442"/>
      <c r="C69" s="442"/>
      <c r="D69" s="442"/>
      <c r="E69" s="442"/>
      <c r="F69" s="100" t="s">
        <v>1280</v>
      </c>
      <c r="G69" s="75"/>
      <c r="H69" s="75"/>
      <c r="I69" s="75">
        <f t="shared" si="2"/>
        <v>0</v>
      </c>
      <c r="J69" s="240"/>
      <c r="K69" s="106"/>
      <c r="N69" s="158"/>
    </row>
    <row r="70" spans="1:14" s="104" customFormat="1" ht="51" customHeight="1">
      <c r="A70" s="207" t="s">
        <v>611</v>
      </c>
      <c r="B70" s="207" t="s">
        <v>1087</v>
      </c>
      <c r="C70" s="207" t="s">
        <v>612</v>
      </c>
      <c r="D70" s="207"/>
      <c r="E70" s="208" t="s">
        <v>613</v>
      </c>
      <c r="F70" s="100"/>
      <c r="G70" s="83">
        <f>G71+G72</f>
        <v>10809472</v>
      </c>
      <c r="H70" s="83">
        <f>H71+H72</f>
        <v>0</v>
      </c>
      <c r="I70" s="83">
        <f>I71+I72</f>
        <v>10809472</v>
      </c>
      <c r="J70" s="240">
        <f>J71+J72</f>
        <v>0</v>
      </c>
      <c r="K70" s="106"/>
      <c r="N70" s="158"/>
    </row>
    <row r="71" spans="1:14" s="104" customFormat="1" ht="78.75">
      <c r="A71" s="198" t="s">
        <v>614</v>
      </c>
      <c r="B71" s="198" t="s">
        <v>1088</v>
      </c>
      <c r="C71" s="198" t="s">
        <v>70</v>
      </c>
      <c r="D71" s="198" t="s">
        <v>444</v>
      </c>
      <c r="E71" s="206" t="s">
        <v>615</v>
      </c>
      <c r="F71" s="412" t="s">
        <v>1261</v>
      </c>
      <c r="G71" s="75">
        <v>10746342</v>
      </c>
      <c r="H71" s="75"/>
      <c r="I71" s="75">
        <f t="shared" si="2"/>
        <v>10746342</v>
      </c>
      <c r="J71" s="240"/>
      <c r="K71" s="106"/>
      <c r="N71" s="158"/>
    </row>
    <row r="72" spans="1:14" s="104" customFormat="1" ht="51" customHeight="1">
      <c r="A72" s="198" t="s">
        <v>616</v>
      </c>
      <c r="B72" s="198" t="s">
        <v>1089</v>
      </c>
      <c r="C72" s="198" t="s">
        <v>494</v>
      </c>
      <c r="D72" s="198" t="s">
        <v>495</v>
      </c>
      <c r="E72" s="206" t="s">
        <v>496</v>
      </c>
      <c r="F72" s="4" t="s">
        <v>14</v>
      </c>
      <c r="G72" s="75">
        <v>63130</v>
      </c>
      <c r="H72" s="75"/>
      <c r="I72" s="75">
        <f t="shared" si="2"/>
        <v>63130</v>
      </c>
      <c r="J72" s="240"/>
      <c r="K72" s="106"/>
      <c r="N72" s="158"/>
    </row>
    <row r="73" spans="1:14" s="104" customFormat="1" ht="15.75" customHeight="1">
      <c r="A73" s="207" t="s">
        <v>617</v>
      </c>
      <c r="B73" s="207" t="s">
        <v>1065</v>
      </c>
      <c r="C73" s="207" t="s">
        <v>568</v>
      </c>
      <c r="D73" s="207"/>
      <c r="E73" s="208" t="s">
        <v>569</v>
      </c>
      <c r="F73" s="197"/>
      <c r="G73" s="83">
        <f>G74+G75+G76+G77</f>
        <v>0</v>
      </c>
      <c r="H73" s="83">
        <f>H74+H75+H76+H77</f>
        <v>94042603</v>
      </c>
      <c r="I73" s="83">
        <f>G73+H73</f>
        <v>94042603</v>
      </c>
      <c r="J73" s="240">
        <f>J74+J75+J76+J77</f>
        <v>0</v>
      </c>
      <c r="K73" s="106"/>
      <c r="N73" s="158"/>
    </row>
    <row r="74" spans="1:245" s="104" customFormat="1" ht="34.5" customHeight="1">
      <c r="A74" s="198" t="s">
        <v>618</v>
      </c>
      <c r="B74" s="198" t="s">
        <v>1066</v>
      </c>
      <c r="C74" s="198" t="s">
        <v>84</v>
      </c>
      <c r="D74" s="198" t="s">
        <v>438</v>
      </c>
      <c r="E74" s="206" t="s">
        <v>571</v>
      </c>
      <c r="F74" s="412" t="s">
        <v>1256</v>
      </c>
      <c r="G74" s="305"/>
      <c r="H74" s="305">
        <f>15866982-890918+1110626</f>
        <v>16086690</v>
      </c>
      <c r="I74" s="305">
        <f t="shared" si="2"/>
        <v>16086690</v>
      </c>
      <c r="J74" s="241"/>
      <c r="K74" s="113"/>
      <c r="N74" s="158"/>
      <c r="AL74" s="158"/>
      <c r="AM74" s="158"/>
      <c r="AN74" s="158"/>
      <c r="AO74" s="158"/>
      <c r="AP74" s="158"/>
      <c r="AQ74" s="158"/>
      <c r="AR74" s="158"/>
      <c r="AS74" s="158"/>
      <c r="AT74" s="158"/>
      <c r="AU74" s="158"/>
      <c r="AV74" s="158"/>
      <c r="AW74" s="158"/>
      <c r="AX74" s="158"/>
      <c r="AY74" s="158"/>
      <c r="AZ74" s="158"/>
      <c r="BA74" s="158"/>
      <c r="BB74" s="158"/>
      <c r="BC74" s="158"/>
      <c r="BD74" s="158"/>
      <c r="BE74" s="158"/>
      <c r="BF74" s="158"/>
      <c r="BG74" s="158"/>
      <c r="BH74" s="158"/>
      <c r="BI74" s="158"/>
      <c r="BJ74" s="158"/>
      <c r="BK74" s="158"/>
      <c r="BL74" s="158"/>
      <c r="BM74" s="158"/>
      <c r="BN74" s="158"/>
      <c r="BO74" s="158"/>
      <c r="BP74" s="158"/>
      <c r="BQ74" s="158"/>
      <c r="BR74" s="158"/>
      <c r="BS74" s="158"/>
      <c r="BT74" s="158"/>
      <c r="BU74" s="158"/>
      <c r="BV74" s="158"/>
      <c r="BW74" s="158"/>
      <c r="BX74" s="158"/>
      <c r="BY74" s="158"/>
      <c r="BZ74" s="158"/>
      <c r="CA74" s="158"/>
      <c r="CB74" s="158"/>
      <c r="CC74" s="158"/>
      <c r="CD74" s="158"/>
      <c r="CE74" s="158"/>
      <c r="CF74" s="158"/>
      <c r="CG74" s="158"/>
      <c r="CH74" s="158"/>
      <c r="CI74" s="158"/>
      <c r="IA74" s="158"/>
      <c r="IB74" s="158"/>
      <c r="IC74" s="158"/>
      <c r="ID74" s="158"/>
      <c r="IE74" s="158"/>
      <c r="IF74" s="158"/>
      <c r="IG74" s="158"/>
      <c r="IH74" s="158"/>
      <c r="II74" s="158"/>
      <c r="IJ74" s="158"/>
      <c r="IK74" s="158"/>
    </row>
    <row r="75" spans="1:245" s="104" customFormat="1" ht="54" customHeight="1">
      <c r="A75" s="198" t="s">
        <v>619</v>
      </c>
      <c r="B75" s="198" t="s">
        <v>1090</v>
      </c>
      <c r="C75" s="198" t="s">
        <v>472</v>
      </c>
      <c r="D75" s="198" t="s">
        <v>441</v>
      </c>
      <c r="E75" s="206" t="s">
        <v>620</v>
      </c>
      <c r="F75" s="412" t="s">
        <v>1256</v>
      </c>
      <c r="G75" s="305"/>
      <c r="H75" s="305">
        <f>56415567+787900-2173002+5500000+469440+13090236+1518307</f>
        <v>75608448</v>
      </c>
      <c r="I75" s="305">
        <f t="shared" si="2"/>
        <v>75608448</v>
      </c>
      <c r="J75" s="241"/>
      <c r="K75" s="106"/>
      <c r="N75" s="158"/>
      <c r="AL75" s="158"/>
      <c r="AM75" s="158"/>
      <c r="AN75" s="158"/>
      <c r="AO75" s="158"/>
      <c r="AP75" s="158"/>
      <c r="AQ75" s="158"/>
      <c r="AR75" s="158"/>
      <c r="AS75" s="158"/>
      <c r="AT75" s="158"/>
      <c r="AU75" s="158"/>
      <c r="AV75" s="158"/>
      <c r="AW75" s="158"/>
      <c r="AX75" s="158"/>
      <c r="AY75" s="158"/>
      <c r="AZ75" s="158"/>
      <c r="BA75" s="158"/>
      <c r="BB75" s="158"/>
      <c r="BC75" s="158"/>
      <c r="BD75" s="158"/>
      <c r="BE75" s="158"/>
      <c r="BF75" s="158"/>
      <c r="BG75" s="158"/>
      <c r="BH75" s="158"/>
      <c r="BI75" s="158"/>
      <c r="BJ75" s="158"/>
      <c r="BK75" s="158"/>
      <c r="BL75" s="158"/>
      <c r="BM75" s="158"/>
      <c r="BN75" s="158"/>
      <c r="BO75" s="158"/>
      <c r="BP75" s="158"/>
      <c r="BQ75" s="158"/>
      <c r="BR75" s="158"/>
      <c r="BS75" s="158"/>
      <c r="BT75" s="158"/>
      <c r="BU75" s="158"/>
      <c r="BV75" s="158"/>
      <c r="BW75" s="158"/>
      <c r="BX75" s="158"/>
      <c r="BY75" s="158"/>
      <c r="BZ75" s="158"/>
      <c r="CA75" s="158"/>
      <c r="CB75" s="158"/>
      <c r="CC75" s="158"/>
      <c r="CD75" s="158"/>
      <c r="CE75" s="158"/>
      <c r="CF75" s="158"/>
      <c r="CG75" s="158"/>
      <c r="CH75" s="158"/>
      <c r="CI75" s="158"/>
      <c r="IA75" s="158"/>
      <c r="IB75" s="158"/>
      <c r="IC75" s="158"/>
      <c r="ID75" s="158"/>
      <c r="IE75" s="158"/>
      <c r="IF75" s="158"/>
      <c r="IG75" s="158"/>
      <c r="IH75" s="158"/>
      <c r="II75" s="158"/>
      <c r="IJ75" s="158"/>
      <c r="IK75" s="158"/>
    </row>
    <row r="76" spans="1:245" s="104" customFormat="1" ht="54" customHeight="1" hidden="1">
      <c r="A76" s="198" t="s">
        <v>621</v>
      </c>
      <c r="B76" s="198" t="s">
        <v>1091</v>
      </c>
      <c r="C76" s="198" t="s">
        <v>622</v>
      </c>
      <c r="D76" s="198" t="s">
        <v>623</v>
      </c>
      <c r="E76" s="206" t="s">
        <v>624</v>
      </c>
      <c r="F76" s="198"/>
      <c r="G76" s="342"/>
      <c r="H76" s="342"/>
      <c r="I76" s="342">
        <f t="shared" si="2"/>
        <v>0</v>
      </c>
      <c r="J76" s="201"/>
      <c r="K76" s="235"/>
      <c r="L76" s="198"/>
      <c r="M76" s="206"/>
      <c r="N76" s="198"/>
      <c r="O76" s="198"/>
      <c r="P76" s="198"/>
      <c r="Q76" s="206"/>
      <c r="R76" s="198"/>
      <c r="S76" s="198"/>
      <c r="T76" s="198"/>
      <c r="U76" s="206"/>
      <c r="V76" s="198"/>
      <c r="W76" s="198"/>
      <c r="X76" s="198"/>
      <c r="Y76" s="206"/>
      <c r="Z76" s="198"/>
      <c r="AA76" s="198"/>
      <c r="AB76" s="198"/>
      <c r="AC76" s="206"/>
      <c r="AD76" s="198"/>
      <c r="AE76" s="198"/>
      <c r="AF76" s="198"/>
      <c r="AG76" s="206"/>
      <c r="AH76" s="198"/>
      <c r="AI76" s="198"/>
      <c r="AJ76" s="198"/>
      <c r="AK76" s="282"/>
      <c r="AL76" s="201"/>
      <c r="AM76" s="201"/>
      <c r="AN76" s="201"/>
      <c r="AO76" s="213"/>
      <c r="AP76" s="201"/>
      <c r="AQ76" s="201"/>
      <c r="AR76" s="201"/>
      <c r="AS76" s="213"/>
      <c r="AT76" s="201"/>
      <c r="AU76" s="201"/>
      <c r="AV76" s="201"/>
      <c r="AW76" s="213"/>
      <c r="AX76" s="201"/>
      <c r="AY76" s="201"/>
      <c r="AZ76" s="201"/>
      <c r="BA76" s="213"/>
      <c r="BB76" s="201"/>
      <c r="BC76" s="201"/>
      <c r="BD76" s="201"/>
      <c r="BE76" s="213"/>
      <c r="BF76" s="201"/>
      <c r="BG76" s="201"/>
      <c r="BH76" s="201"/>
      <c r="BI76" s="213"/>
      <c r="BJ76" s="201"/>
      <c r="BK76" s="201"/>
      <c r="BL76" s="201"/>
      <c r="BM76" s="213"/>
      <c r="BN76" s="201"/>
      <c r="BO76" s="201"/>
      <c r="BP76" s="201"/>
      <c r="BQ76" s="213"/>
      <c r="BR76" s="201"/>
      <c r="BS76" s="201"/>
      <c r="BT76" s="201"/>
      <c r="BU76" s="213"/>
      <c r="BV76" s="201"/>
      <c r="BW76" s="201"/>
      <c r="BX76" s="201"/>
      <c r="BY76" s="213"/>
      <c r="BZ76" s="201"/>
      <c r="CA76" s="201"/>
      <c r="CB76" s="201"/>
      <c r="CC76" s="213"/>
      <c r="CD76" s="201"/>
      <c r="CE76" s="201"/>
      <c r="CF76" s="201"/>
      <c r="CG76" s="213"/>
      <c r="CH76" s="201"/>
      <c r="CI76" s="201"/>
      <c r="CJ76" s="235"/>
      <c r="CK76" s="206"/>
      <c r="CL76" s="198"/>
      <c r="CM76" s="198"/>
      <c r="CN76" s="198"/>
      <c r="CO76" s="206"/>
      <c r="CP76" s="198"/>
      <c r="CQ76" s="198"/>
      <c r="CR76" s="198"/>
      <c r="CS76" s="206"/>
      <c r="CT76" s="198"/>
      <c r="CU76" s="198"/>
      <c r="CV76" s="198"/>
      <c r="CW76" s="206"/>
      <c r="CX76" s="198"/>
      <c r="CY76" s="198"/>
      <c r="CZ76" s="198"/>
      <c r="DA76" s="206"/>
      <c r="DB76" s="198"/>
      <c r="DC76" s="198"/>
      <c r="DD76" s="198"/>
      <c r="DE76" s="206"/>
      <c r="DF76" s="198"/>
      <c r="DG76" s="198"/>
      <c r="DH76" s="198"/>
      <c r="DI76" s="206"/>
      <c r="DJ76" s="198"/>
      <c r="DK76" s="198"/>
      <c r="DL76" s="198"/>
      <c r="DM76" s="206"/>
      <c r="DN76" s="198"/>
      <c r="DO76" s="198"/>
      <c r="DP76" s="198"/>
      <c r="DQ76" s="206"/>
      <c r="DR76" s="198"/>
      <c r="DS76" s="198"/>
      <c r="DT76" s="198"/>
      <c r="DU76" s="206"/>
      <c r="DV76" s="198"/>
      <c r="DW76" s="198"/>
      <c r="DX76" s="198"/>
      <c r="DY76" s="206"/>
      <c r="DZ76" s="198"/>
      <c r="EA76" s="198"/>
      <c r="EB76" s="198"/>
      <c r="EC76" s="206"/>
      <c r="ED76" s="198"/>
      <c r="EE76" s="198"/>
      <c r="EF76" s="198"/>
      <c r="EG76" s="206"/>
      <c r="EH76" s="198"/>
      <c r="EI76" s="198"/>
      <c r="EJ76" s="198"/>
      <c r="EK76" s="206"/>
      <c r="EL76" s="198"/>
      <c r="EM76" s="198"/>
      <c r="EN76" s="198"/>
      <c r="EO76" s="206"/>
      <c r="EP76" s="198"/>
      <c r="EQ76" s="198"/>
      <c r="ER76" s="198"/>
      <c r="ES76" s="206"/>
      <c r="ET76" s="198"/>
      <c r="EU76" s="198"/>
      <c r="EV76" s="198"/>
      <c r="EW76" s="206"/>
      <c r="EX76" s="198"/>
      <c r="EY76" s="198"/>
      <c r="EZ76" s="198"/>
      <c r="FA76" s="206"/>
      <c r="FB76" s="198"/>
      <c r="FC76" s="198"/>
      <c r="FD76" s="198"/>
      <c r="FE76" s="206"/>
      <c r="FF76" s="198"/>
      <c r="FG76" s="198"/>
      <c r="FH76" s="198"/>
      <c r="FI76" s="206"/>
      <c r="FJ76" s="198"/>
      <c r="FK76" s="198"/>
      <c r="FL76" s="198"/>
      <c r="FM76" s="206"/>
      <c r="FN76" s="198"/>
      <c r="FO76" s="198"/>
      <c r="FP76" s="198"/>
      <c r="FQ76" s="206"/>
      <c r="FR76" s="198"/>
      <c r="FS76" s="198"/>
      <c r="FT76" s="198"/>
      <c r="FU76" s="206"/>
      <c r="FV76" s="198"/>
      <c r="FW76" s="198"/>
      <c r="FX76" s="198"/>
      <c r="FY76" s="206"/>
      <c r="FZ76" s="198"/>
      <c r="GA76" s="198"/>
      <c r="GB76" s="198"/>
      <c r="GC76" s="206"/>
      <c r="GD76" s="198"/>
      <c r="GE76" s="198"/>
      <c r="GF76" s="198"/>
      <c r="GG76" s="206"/>
      <c r="GH76" s="198"/>
      <c r="GI76" s="198"/>
      <c r="GJ76" s="198"/>
      <c r="GK76" s="206"/>
      <c r="GL76" s="198"/>
      <c r="GM76" s="198"/>
      <c r="GN76" s="198"/>
      <c r="GO76" s="206"/>
      <c r="GP76" s="198"/>
      <c r="GQ76" s="198"/>
      <c r="GR76" s="198"/>
      <c r="GS76" s="206"/>
      <c r="GT76" s="198"/>
      <c r="GU76" s="198"/>
      <c r="GV76" s="198"/>
      <c r="GW76" s="206"/>
      <c r="GX76" s="198"/>
      <c r="GY76" s="198"/>
      <c r="GZ76" s="198"/>
      <c r="HA76" s="206"/>
      <c r="HB76" s="198"/>
      <c r="HC76" s="198"/>
      <c r="HD76" s="198"/>
      <c r="HE76" s="206"/>
      <c r="HF76" s="198"/>
      <c r="HG76" s="198"/>
      <c r="HH76" s="198"/>
      <c r="HI76" s="206"/>
      <c r="HJ76" s="198"/>
      <c r="HK76" s="198"/>
      <c r="HL76" s="198"/>
      <c r="HM76" s="206"/>
      <c r="HN76" s="198"/>
      <c r="HO76" s="198"/>
      <c r="HP76" s="198"/>
      <c r="HQ76" s="206"/>
      <c r="HR76" s="198"/>
      <c r="HS76" s="198"/>
      <c r="HT76" s="198"/>
      <c r="HU76" s="206"/>
      <c r="HV76" s="198"/>
      <c r="HW76" s="198"/>
      <c r="HX76" s="198"/>
      <c r="HY76" s="206"/>
      <c r="HZ76" s="177"/>
      <c r="IA76" s="201"/>
      <c r="IB76" s="201"/>
      <c r="IC76" s="213"/>
      <c r="ID76" s="201"/>
      <c r="IE76" s="201"/>
      <c r="IF76" s="201"/>
      <c r="IG76" s="213"/>
      <c r="IH76" s="201"/>
      <c r="II76" s="201"/>
      <c r="IJ76" s="201"/>
      <c r="IK76" s="213"/>
    </row>
    <row r="77" spans="1:245" s="161" customFormat="1" ht="58.5" customHeight="1">
      <c r="A77" s="198" t="s">
        <v>625</v>
      </c>
      <c r="B77" s="198" t="s">
        <v>1092</v>
      </c>
      <c r="C77" s="198" t="s">
        <v>476</v>
      </c>
      <c r="D77" s="198" t="s">
        <v>442</v>
      </c>
      <c r="E77" s="206" t="s">
        <v>477</v>
      </c>
      <c r="F77" s="429" t="s">
        <v>1256</v>
      </c>
      <c r="G77" s="342"/>
      <c r="H77" s="80">
        <f>980000+1367465</f>
        <v>2347465</v>
      </c>
      <c r="I77" s="377">
        <f t="shared" si="2"/>
        <v>2347465</v>
      </c>
      <c r="J77" s="201"/>
      <c r="K77" s="235"/>
      <c r="L77" s="198"/>
      <c r="M77" s="206"/>
      <c r="N77" s="198"/>
      <c r="O77" s="198"/>
      <c r="P77" s="198"/>
      <c r="Q77" s="206"/>
      <c r="R77" s="198"/>
      <c r="S77" s="198"/>
      <c r="T77" s="198"/>
      <c r="U77" s="206"/>
      <c r="V77" s="198"/>
      <c r="W77" s="198"/>
      <c r="X77" s="198"/>
      <c r="Y77" s="206"/>
      <c r="Z77" s="198"/>
      <c r="AA77" s="198"/>
      <c r="AB77" s="198"/>
      <c r="AC77" s="206"/>
      <c r="AD77" s="198"/>
      <c r="AE77" s="198"/>
      <c r="AF77" s="198"/>
      <c r="AG77" s="206"/>
      <c r="AH77" s="198"/>
      <c r="AI77" s="198"/>
      <c r="AJ77" s="198"/>
      <c r="AK77" s="282"/>
      <c r="AL77" s="201"/>
      <c r="AM77" s="201"/>
      <c r="AN77" s="201"/>
      <c r="AO77" s="213"/>
      <c r="AP77" s="201"/>
      <c r="AQ77" s="201"/>
      <c r="AR77" s="201"/>
      <c r="AS77" s="213"/>
      <c r="AT77" s="201"/>
      <c r="AU77" s="201"/>
      <c r="AV77" s="201"/>
      <c r="AW77" s="213"/>
      <c r="AX77" s="201"/>
      <c r="AY77" s="201"/>
      <c r="AZ77" s="201"/>
      <c r="BA77" s="213"/>
      <c r="BB77" s="201"/>
      <c r="BC77" s="201"/>
      <c r="BD77" s="201"/>
      <c r="BE77" s="213"/>
      <c r="BF77" s="201"/>
      <c r="BG77" s="201"/>
      <c r="BH77" s="201"/>
      <c r="BI77" s="213"/>
      <c r="BJ77" s="201"/>
      <c r="BK77" s="201"/>
      <c r="BL77" s="201"/>
      <c r="BM77" s="213"/>
      <c r="BN77" s="201"/>
      <c r="BO77" s="201"/>
      <c r="BP77" s="201"/>
      <c r="BQ77" s="213"/>
      <c r="BR77" s="201"/>
      <c r="BS77" s="201"/>
      <c r="BT77" s="201"/>
      <c r="BU77" s="213"/>
      <c r="BV77" s="201"/>
      <c r="BW77" s="201"/>
      <c r="BX77" s="201"/>
      <c r="BY77" s="213"/>
      <c r="BZ77" s="201"/>
      <c r="CA77" s="201"/>
      <c r="CB77" s="201"/>
      <c r="CC77" s="213"/>
      <c r="CD77" s="201"/>
      <c r="CE77" s="201"/>
      <c r="CF77" s="201"/>
      <c r="CG77" s="213"/>
      <c r="CH77" s="201"/>
      <c r="CI77" s="201"/>
      <c r="CJ77" s="235"/>
      <c r="CK77" s="206"/>
      <c r="CL77" s="198"/>
      <c r="CM77" s="198"/>
      <c r="CN77" s="198"/>
      <c r="CO77" s="206"/>
      <c r="CP77" s="198"/>
      <c r="CQ77" s="198"/>
      <c r="CR77" s="198"/>
      <c r="CS77" s="206"/>
      <c r="CT77" s="198"/>
      <c r="CU77" s="198"/>
      <c r="CV77" s="198"/>
      <c r="CW77" s="206"/>
      <c r="CX77" s="198"/>
      <c r="CY77" s="198"/>
      <c r="CZ77" s="198"/>
      <c r="DA77" s="206"/>
      <c r="DB77" s="198"/>
      <c r="DC77" s="198"/>
      <c r="DD77" s="198"/>
      <c r="DE77" s="206"/>
      <c r="DF77" s="198"/>
      <c r="DG77" s="198"/>
      <c r="DH77" s="198"/>
      <c r="DI77" s="206"/>
      <c r="DJ77" s="198"/>
      <c r="DK77" s="198"/>
      <c r="DL77" s="198"/>
      <c r="DM77" s="206"/>
      <c r="DN77" s="198"/>
      <c r="DO77" s="198"/>
      <c r="DP77" s="198"/>
      <c r="DQ77" s="206"/>
      <c r="DR77" s="198"/>
      <c r="DS77" s="198"/>
      <c r="DT77" s="198"/>
      <c r="DU77" s="206"/>
      <c r="DV77" s="198"/>
      <c r="DW77" s="198"/>
      <c r="DX77" s="198"/>
      <c r="DY77" s="206"/>
      <c r="DZ77" s="198"/>
      <c r="EA77" s="198"/>
      <c r="EB77" s="198"/>
      <c r="EC77" s="206"/>
      <c r="ED77" s="198"/>
      <c r="EE77" s="198"/>
      <c r="EF77" s="198"/>
      <c r="EG77" s="206"/>
      <c r="EH77" s="198"/>
      <c r="EI77" s="198"/>
      <c r="EJ77" s="198"/>
      <c r="EK77" s="206"/>
      <c r="EL77" s="198"/>
      <c r="EM77" s="198"/>
      <c r="EN77" s="198"/>
      <c r="EO77" s="206"/>
      <c r="EP77" s="198"/>
      <c r="EQ77" s="198"/>
      <c r="ER77" s="198"/>
      <c r="ES77" s="206"/>
      <c r="ET77" s="198"/>
      <c r="EU77" s="198"/>
      <c r="EV77" s="198"/>
      <c r="EW77" s="206"/>
      <c r="EX77" s="198"/>
      <c r="EY77" s="198"/>
      <c r="EZ77" s="198"/>
      <c r="FA77" s="206"/>
      <c r="FB77" s="198"/>
      <c r="FC77" s="198"/>
      <c r="FD77" s="198"/>
      <c r="FE77" s="206"/>
      <c r="FF77" s="198"/>
      <c r="FG77" s="198"/>
      <c r="FH77" s="198"/>
      <c r="FI77" s="206"/>
      <c r="FJ77" s="198"/>
      <c r="FK77" s="198"/>
      <c r="FL77" s="198"/>
      <c r="FM77" s="206"/>
      <c r="FN77" s="198"/>
      <c r="FO77" s="198"/>
      <c r="FP77" s="198"/>
      <c r="FQ77" s="206"/>
      <c r="FR77" s="198"/>
      <c r="FS77" s="198"/>
      <c r="FT77" s="198"/>
      <c r="FU77" s="206"/>
      <c r="FV77" s="198"/>
      <c r="FW77" s="198"/>
      <c r="FX77" s="198"/>
      <c r="FY77" s="206"/>
      <c r="FZ77" s="198"/>
      <c r="GA77" s="198"/>
      <c r="GB77" s="198"/>
      <c r="GC77" s="206"/>
      <c r="GD77" s="198"/>
      <c r="GE77" s="198"/>
      <c r="GF77" s="198"/>
      <c r="GG77" s="206"/>
      <c r="GH77" s="198"/>
      <c r="GI77" s="198"/>
      <c r="GJ77" s="198"/>
      <c r="GK77" s="206"/>
      <c r="GL77" s="198"/>
      <c r="GM77" s="198"/>
      <c r="GN77" s="198"/>
      <c r="GO77" s="206"/>
      <c r="GP77" s="198"/>
      <c r="GQ77" s="198"/>
      <c r="GR77" s="198"/>
      <c r="GS77" s="206"/>
      <c r="GT77" s="198"/>
      <c r="GU77" s="198"/>
      <c r="GV77" s="198"/>
      <c r="GW77" s="206"/>
      <c r="GX77" s="198"/>
      <c r="GY77" s="198"/>
      <c r="GZ77" s="198"/>
      <c r="HA77" s="206"/>
      <c r="HB77" s="198"/>
      <c r="HC77" s="198"/>
      <c r="HD77" s="198"/>
      <c r="HE77" s="206"/>
      <c r="HF77" s="198"/>
      <c r="HG77" s="198"/>
      <c r="HH77" s="198"/>
      <c r="HI77" s="206"/>
      <c r="HJ77" s="198"/>
      <c r="HK77" s="198"/>
      <c r="HL77" s="198"/>
      <c r="HM77" s="206"/>
      <c r="HN77" s="198"/>
      <c r="HO77" s="198"/>
      <c r="HP77" s="198"/>
      <c r="HQ77" s="206"/>
      <c r="HR77" s="198"/>
      <c r="HS77" s="198"/>
      <c r="HT77" s="198"/>
      <c r="HU77" s="206"/>
      <c r="HV77" s="198"/>
      <c r="HW77" s="198"/>
      <c r="HX77" s="198"/>
      <c r="HY77" s="206"/>
      <c r="HZ77" s="177"/>
      <c r="IA77" s="201"/>
      <c r="IB77" s="201"/>
      <c r="IC77" s="213"/>
      <c r="ID77" s="201"/>
      <c r="IE77" s="201"/>
      <c r="IF77" s="201"/>
      <c r="IG77" s="213"/>
      <c r="IH77" s="201"/>
      <c r="II77" s="201"/>
      <c r="IJ77" s="201"/>
      <c r="IK77" s="213"/>
    </row>
    <row r="78" spans="1:245" s="161" customFormat="1" ht="15.75" customHeight="1">
      <c r="A78" s="207" t="s">
        <v>626</v>
      </c>
      <c r="B78" s="207" t="s">
        <v>1076</v>
      </c>
      <c r="C78" s="207" t="s">
        <v>574</v>
      </c>
      <c r="D78" s="207"/>
      <c r="E78" s="208" t="s">
        <v>575</v>
      </c>
      <c r="F78" s="198"/>
      <c r="G78" s="83">
        <f>G79+G80</f>
        <v>0</v>
      </c>
      <c r="H78" s="83">
        <f>H79+H80</f>
        <v>10835222</v>
      </c>
      <c r="I78" s="83">
        <f>G78+H78</f>
        <v>10835222</v>
      </c>
      <c r="J78" s="114">
        <f>J79+J80</f>
        <v>0</v>
      </c>
      <c r="K78" s="201"/>
      <c r="L78" s="201"/>
      <c r="M78" s="213"/>
      <c r="N78" s="201"/>
      <c r="O78" s="201"/>
      <c r="P78" s="201"/>
      <c r="Q78" s="213"/>
      <c r="R78" s="201"/>
      <c r="S78" s="201"/>
      <c r="T78" s="201"/>
      <c r="U78" s="213"/>
      <c r="V78" s="201"/>
      <c r="W78" s="201"/>
      <c r="X78" s="201"/>
      <c r="Y78" s="213"/>
      <c r="Z78" s="201"/>
      <c r="AA78" s="201"/>
      <c r="AB78" s="201"/>
      <c r="AC78" s="213"/>
      <c r="AD78" s="201"/>
      <c r="AE78" s="201"/>
      <c r="AF78" s="201"/>
      <c r="AG78" s="213"/>
      <c r="AH78" s="201"/>
      <c r="AI78" s="201"/>
      <c r="AJ78" s="201"/>
      <c r="AK78" s="213"/>
      <c r="AL78" s="201"/>
      <c r="AM78" s="201"/>
      <c r="AN78" s="201"/>
      <c r="AO78" s="213"/>
      <c r="AP78" s="201"/>
      <c r="AQ78" s="201"/>
      <c r="AR78" s="201"/>
      <c r="AS78" s="213"/>
      <c r="AT78" s="201"/>
      <c r="AU78" s="201"/>
      <c r="AV78" s="201"/>
      <c r="AW78" s="213"/>
      <c r="AX78" s="201"/>
      <c r="AY78" s="201"/>
      <c r="AZ78" s="201"/>
      <c r="BA78" s="213"/>
      <c r="BB78" s="201"/>
      <c r="BC78" s="201"/>
      <c r="BD78" s="201"/>
      <c r="BE78" s="213"/>
      <c r="BF78" s="201"/>
      <c r="BG78" s="201"/>
      <c r="BH78" s="201"/>
      <c r="BI78" s="213"/>
      <c r="BJ78" s="201"/>
      <c r="BK78" s="201"/>
      <c r="BL78" s="201"/>
      <c r="BM78" s="213"/>
      <c r="BN78" s="201"/>
      <c r="BO78" s="201"/>
      <c r="BP78" s="201"/>
      <c r="BQ78" s="213"/>
      <c r="BR78" s="201"/>
      <c r="BS78" s="201"/>
      <c r="BT78" s="201"/>
      <c r="BU78" s="213"/>
      <c r="BV78" s="201"/>
      <c r="BW78" s="201"/>
      <c r="BX78" s="201"/>
      <c r="BY78" s="213"/>
      <c r="BZ78" s="201"/>
      <c r="CA78" s="201"/>
      <c r="CB78" s="201"/>
      <c r="CC78" s="213"/>
      <c r="CD78" s="201"/>
      <c r="CE78" s="201"/>
      <c r="CF78" s="201"/>
      <c r="CG78" s="213"/>
      <c r="CH78" s="201"/>
      <c r="CI78" s="201"/>
      <c r="CJ78" s="201"/>
      <c r="CK78" s="213"/>
      <c r="CL78" s="201"/>
      <c r="CM78" s="201"/>
      <c r="CN78" s="201"/>
      <c r="CO78" s="213"/>
      <c r="CP78" s="201"/>
      <c r="CQ78" s="201"/>
      <c r="CR78" s="201"/>
      <c r="CS78" s="213"/>
      <c r="CT78" s="201"/>
      <c r="CU78" s="201"/>
      <c r="CV78" s="201"/>
      <c r="CW78" s="213"/>
      <c r="CX78" s="201"/>
      <c r="CY78" s="201"/>
      <c r="CZ78" s="201"/>
      <c r="DA78" s="213"/>
      <c r="DB78" s="201"/>
      <c r="DC78" s="201"/>
      <c r="DD78" s="201"/>
      <c r="DE78" s="213"/>
      <c r="DF78" s="201"/>
      <c r="DG78" s="201"/>
      <c r="DH78" s="201"/>
      <c r="DI78" s="213"/>
      <c r="DJ78" s="201"/>
      <c r="DK78" s="201"/>
      <c r="DL78" s="201"/>
      <c r="DM78" s="213"/>
      <c r="DN78" s="201"/>
      <c r="DO78" s="201"/>
      <c r="DP78" s="201"/>
      <c r="DQ78" s="213"/>
      <c r="DR78" s="201"/>
      <c r="DS78" s="201"/>
      <c r="DT78" s="201"/>
      <c r="DU78" s="213"/>
      <c r="DV78" s="201"/>
      <c r="DW78" s="201"/>
      <c r="DX78" s="201"/>
      <c r="DY78" s="213"/>
      <c r="DZ78" s="201"/>
      <c r="EA78" s="201"/>
      <c r="EB78" s="201"/>
      <c r="EC78" s="213"/>
      <c r="ED78" s="201"/>
      <c r="EE78" s="201"/>
      <c r="EF78" s="201"/>
      <c r="EG78" s="213"/>
      <c r="EH78" s="201"/>
      <c r="EI78" s="201"/>
      <c r="EJ78" s="201"/>
      <c r="EK78" s="213"/>
      <c r="EL78" s="201"/>
      <c r="EM78" s="201"/>
      <c r="EN78" s="201"/>
      <c r="EO78" s="213"/>
      <c r="EP78" s="201"/>
      <c r="EQ78" s="201"/>
      <c r="ER78" s="201"/>
      <c r="ES78" s="213"/>
      <c r="ET78" s="201"/>
      <c r="EU78" s="201"/>
      <c r="EV78" s="201"/>
      <c r="EW78" s="213"/>
      <c r="EX78" s="201"/>
      <c r="EY78" s="201"/>
      <c r="EZ78" s="201"/>
      <c r="FA78" s="213"/>
      <c r="FB78" s="201"/>
      <c r="FC78" s="201"/>
      <c r="FD78" s="201"/>
      <c r="FE78" s="213"/>
      <c r="FF78" s="201"/>
      <c r="FG78" s="201"/>
      <c r="FH78" s="201"/>
      <c r="FI78" s="213"/>
      <c r="FJ78" s="201"/>
      <c r="FK78" s="201"/>
      <c r="FL78" s="201"/>
      <c r="FM78" s="213"/>
      <c r="FN78" s="201"/>
      <c r="FO78" s="201"/>
      <c r="FP78" s="201"/>
      <c r="FQ78" s="213"/>
      <c r="FR78" s="201"/>
      <c r="FS78" s="201"/>
      <c r="FT78" s="201"/>
      <c r="FU78" s="213"/>
      <c r="FV78" s="201"/>
      <c r="FW78" s="201"/>
      <c r="FX78" s="201"/>
      <c r="FY78" s="213"/>
      <c r="FZ78" s="201"/>
      <c r="GA78" s="201"/>
      <c r="GB78" s="201"/>
      <c r="GC78" s="213"/>
      <c r="GD78" s="201"/>
      <c r="GE78" s="201"/>
      <c r="GF78" s="201"/>
      <c r="GG78" s="213"/>
      <c r="GH78" s="201"/>
      <c r="GI78" s="201"/>
      <c r="GJ78" s="201"/>
      <c r="GK78" s="213"/>
      <c r="GL78" s="201"/>
      <c r="GM78" s="201"/>
      <c r="GN78" s="201"/>
      <c r="GO78" s="213"/>
      <c r="GP78" s="201"/>
      <c r="GQ78" s="201"/>
      <c r="GR78" s="201"/>
      <c r="GS78" s="213"/>
      <c r="GT78" s="201"/>
      <c r="GU78" s="201"/>
      <c r="GV78" s="201"/>
      <c r="GW78" s="213"/>
      <c r="GX78" s="201"/>
      <c r="GY78" s="201"/>
      <c r="GZ78" s="201"/>
      <c r="HA78" s="213"/>
      <c r="HB78" s="201"/>
      <c r="HC78" s="201"/>
      <c r="HD78" s="201"/>
      <c r="HE78" s="213"/>
      <c r="HF78" s="201"/>
      <c r="HG78" s="201"/>
      <c r="HH78" s="201"/>
      <c r="HI78" s="213"/>
      <c r="HJ78" s="201"/>
      <c r="HK78" s="201"/>
      <c r="HL78" s="201"/>
      <c r="HM78" s="213"/>
      <c r="HN78" s="201"/>
      <c r="HO78" s="201"/>
      <c r="HP78" s="201"/>
      <c r="HQ78" s="213"/>
      <c r="HR78" s="201"/>
      <c r="HS78" s="201"/>
      <c r="HT78" s="201"/>
      <c r="HU78" s="213"/>
      <c r="HV78" s="201"/>
      <c r="HW78" s="201"/>
      <c r="HX78" s="201"/>
      <c r="HY78" s="213"/>
      <c r="HZ78" s="201"/>
      <c r="IA78" s="201"/>
      <c r="IB78" s="201"/>
      <c r="IC78" s="213"/>
      <c r="ID78" s="201"/>
      <c r="IE78" s="201"/>
      <c r="IF78" s="201"/>
      <c r="IG78" s="213"/>
      <c r="IH78" s="201"/>
      <c r="II78" s="201"/>
      <c r="IJ78" s="201"/>
      <c r="IK78" s="213"/>
    </row>
    <row r="79" spans="1:87" s="104" customFormat="1" ht="52.5" customHeight="1">
      <c r="A79" s="198" t="s">
        <v>627</v>
      </c>
      <c r="B79" s="198" t="s">
        <v>1093</v>
      </c>
      <c r="C79" s="198" t="s">
        <v>29</v>
      </c>
      <c r="D79" s="198" t="s">
        <v>447</v>
      </c>
      <c r="E79" s="206" t="s">
        <v>106</v>
      </c>
      <c r="F79" s="412" t="s">
        <v>1243</v>
      </c>
      <c r="G79" s="75"/>
      <c r="H79" s="75">
        <f>1207411+987252+25000+3400000</f>
        <v>5619663</v>
      </c>
      <c r="I79" s="75">
        <f t="shared" si="2"/>
        <v>5619663</v>
      </c>
      <c r="J79" s="236"/>
      <c r="K79" s="113"/>
      <c r="N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row>
    <row r="80" spans="1:87" s="104" customFormat="1" ht="52.5" customHeight="1">
      <c r="A80" s="198" t="s">
        <v>628</v>
      </c>
      <c r="B80" s="198" t="s">
        <v>1077</v>
      </c>
      <c r="C80" s="198" t="s">
        <v>71</v>
      </c>
      <c r="D80" s="426" t="s">
        <v>439</v>
      </c>
      <c r="E80" s="206" t="s">
        <v>221</v>
      </c>
      <c r="F80" s="412" t="s">
        <v>1240</v>
      </c>
      <c r="G80" s="75"/>
      <c r="H80" s="75">
        <v>5215559</v>
      </c>
      <c r="I80" s="75">
        <f>G80+H80</f>
        <v>5215559</v>
      </c>
      <c r="J80" s="236">
        <f>J81</f>
        <v>0</v>
      </c>
      <c r="K80" s="113"/>
      <c r="N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row>
    <row r="81" spans="1:87" s="104" customFormat="1" ht="52.5" customHeight="1" hidden="1">
      <c r="A81" s="337" t="s">
        <v>629</v>
      </c>
      <c r="B81" s="337" t="s">
        <v>1078</v>
      </c>
      <c r="C81" s="285" t="s">
        <v>71</v>
      </c>
      <c r="D81" s="337" t="s">
        <v>439</v>
      </c>
      <c r="E81" s="231" t="s">
        <v>578</v>
      </c>
      <c r="F81" s="398" t="s">
        <v>1213</v>
      </c>
      <c r="G81" s="305"/>
      <c r="H81" s="305"/>
      <c r="I81" s="305">
        <f t="shared" si="2"/>
        <v>0</v>
      </c>
      <c r="J81" s="241"/>
      <c r="K81" s="113"/>
      <c r="N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row>
    <row r="82" spans="1:87" s="104" customFormat="1" ht="31.5" customHeight="1">
      <c r="A82" s="101"/>
      <c r="B82" s="386" t="s">
        <v>531</v>
      </c>
      <c r="C82" s="98" t="s">
        <v>531</v>
      </c>
      <c r="D82" s="101"/>
      <c r="E82" s="99" t="s">
        <v>517</v>
      </c>
      <c r="F82" s="190"/>
      <c r="G82" s="83">
        <f>G83</f>
        <v>33742643</v>
      </c>
      <c r="H82" s="83">
        <f>H83</f>
        <v>12777603</v>
      </c>
      <c r="I82" s="83">
        <f t="shared" si="2"/>
        <v>46520246</v>
      </c>
      <c r="J82" s="144">
        <f>J83</f>
        <v>94100</v>
      </c>
      <c r="K82" s="106"/>
      <c r="N82" s="114"/>
      <c r="O82" s="115"/>
      <c r="AL82" s="158"/>
      <c r="AM82" s="158"/>
      <c r="AN82" s="158"/>
      <c r="AO82" s="158"/>
      <c r="AP82" s="158"/>
      <c r="AQ82" s="158"/>
      <c r="AR82" s="158"/>
      <c r="AS82" s="158"/>
      <c r="AT82" s="158"/>
      <c r="AU82" s="158"/>
      <c r="AV82" s="158"/>
      <c r="AW82" s="158"/>
      <c r="AX82" s="158"/>
      <c r="AY82" s="158"/>
      <c r="AZ82" s="158"/>
      <c r="BA82" s="158"/>
      <c r="BB82" s="158"/>
      <c r="BC82" s="158"/>
      <c r="BD82" s="158"/>
      <c r="BE82" s="158"/>
      <c r="BF82" s="158"/>
      <c r="BG82" s="158"/>
      <c r="BH82" s="158"/>
      <c r="BI82" s="158"/>
      <c r="BJ82" s="158"/>
      <c r="BK82" s="158"/>
      <c r="BL82" s="158"/>
      <c r="BM82" s="158"/>
      <c r="BN82" s="158"/>
      <c r="BO82" s="158"/>
      <c r="BP82" s="158"/>
      <c r="BQ82" s="158"/>
      <c r="BR82" s="158"/>
      <c r="BS82" s="158"/>
      <c r="BT82" s="158"/>
      <c r="BU82" s="158"/>
      <c r="BV82" s="158"/>
      <c r="BW82" s="158"/>
      <c r="BX82" s="158"/>
      <c r="BY82" s="158"/>
      <c r="BZ82" s="158"/>
      <c r="CA82" s="158"/>
      <c r="CB82" s="158"/>
      <c r="CC82" s="158"/>
      <c r="CD82" s="158"/>
      <c r="CE82" s="158"/>
      <c r="CF82" s="158"/>
      <c r="CG82" s="158"/>
      <c r="CH82" s="158"/>
      <c r="CI82" s="158"/>
    </row>
    <row r="83" spans="1:87" s="104" customFormat="1" ht="30.75" customHeight="1">
      <c r="A83" s="25" t="s">
        <v>630</v>
      </c>
      <c r="B83" s="25"/>
      <c r="C83" s="25"/>
      <c r="D83" s="25"/>
      <c r="E83" s="212" t="s">
        <v>517</v>
      </c>
      <c r="F83" s="199"/>
      <c r="G83" s="83">
        <f>G84+G86+G91+G104+G106</f>
        <v>33742643</v>
      </c>
      <c r="H83" s="83">
        <f>H84+H86+H91+H104+H106</f>
        <v>12777603</v>
      </c>
      <c r="I83" s="83">
        <f t="shared" si="2"/>
        <v>46520246</v>
      </c>
      <c r="J83" s="144">
        <f>J84+J86+J91+J104+J106</f>
        <v>94100</v>
      </c>
      <c r="K83" s="106"/>
      <c r="N83" s="114"/>
      <c r="O83" s="115"/>
      <c r="AL83" s="158"/>
      <c r="AM83" s="158"/>
      <c r="AN83" s="158"/>
      <c r="AO83" s="158"/>
      <c r="AP83" s="158"/>
      <c r="AQ83" s="158"/>
      <c r="AR83" s="158"/>
      <c r="AS83" s="158"/>
      <c r="AT83" s="158"/>
      <c r="AU83" s="158"/>
      <c r="AV83" s="158"/>
      <c r="AW83" s="158"/>
      <c r="AX83" s="158"/>
      <c r="AY83" s="158"/>
      <c r="AZ83" s="158"/>
      <c r="BA83" s="158"/>
      <c r="BB83" s="158"/>
      <c r="BC83" s="158"/>
      <c r="BD83" s="158"/>
      <c r="BE83" s="158"/>
      <c r="BF83" s="158"/>
      <c r="BG83" s="158"/>
      <c r="BH83" s="158"/>
      <c r="BI83" s="158"/>
      <c r="BJ83" s="158"/>
      <c r="BK83" s="158"/>
      <c r="BL83" s="158"/>
      <c r="BM83" s="158"/>
      <c r="BN83" s="158"/>
      <c r="BO83" s="158"/>
      <c r="BP83" s="158"/>
      <c r="BQ83" s="158"/>
      <c r="BR83" s="158"/>
      <c r="BS83" s="158"/>
      <c r="BT83" s="158"/>
      <c r="BU83" s="158"/>
      <c r="BV83" s="158"/>
      <c r="BW83" s="158"/>
      <c r="BX83" s="158"/>
      <c r="BY83" s="158"/>
      <c r="BZ83" s="158"/>
      <c r="CA83" s="158"/>
      <c r="CB83" s="158"/>
      <c r="CC83" s="158"/>
      <c r="CD83" s="158"/>
      <c r="CE83" s="158"/>
      <c r="CF83" s="158"/>
      <c r="CG83" s="158"/>
      <c r="CH83" s="158"/>
      <c r="CI83" s="158"/>
    </row>
    <row r="84" spans="1:87" s="104" customFormat="1" ht="15.75" customHeight="1" hidden="1">
      <c r="A84" s="308" t="s">
        <v>631</v>
      </c>
      <c r="B84" s="308" t="s">
        <v>1060</v>
      </c>
      <c r="C84" s="309" t="s">
        <v>555</v>
      </c>
      <c r="D84" s="309"/>
      <c r="E84" s="208" t="s">
        <v>556</v>
      </c>
      <c r="F84" s="199"/>
      <c r="G84" s="83">
        <f>G85</f>
        <v>0</v>
      </c>
      <c r="H84" s="83">
        <f>H85</f>
        <v>0</v>
      </c>
      <c r="I84" s="83">
        <f t="shared" si="2"/>
        <v>0</v>
      </c>
      <c r="J84" s="144">
        <f>J85</f>
        <v>0</v>
      </c>
      <c r="K84" s="106"/>
      <c r="N84" s="114"/>
      <c r="O84" s="115"/>
      <c r="AL84" s="158"/>
      <c r="AM84" s="158"/>
      <c r="AN84" s="158"/>
      <c r="AO84" s="158"/>
      <c r="AP84" s="158"/>
      <c r="AQ84" s="158"/>
      <c r="AR84" s="158"/>
      <c r="AS84" s="158"/>
      <c r="AT84" s="158"/>
      <c r="AU84" s="158"/>
      <c r="AV84" s="158"/>
      <c r="AW84" s="158"/>
      <c r="AX84" s="158"/>
      <c r="AY84" s="158"/>
      <c r="AZ84" s="158"/>
      <c r="BA84" s="158"/>
      <c r="BB84" s="158"/>
      <c r="BC84" s="158"/>
      <c r="BD84" s="158"/>
      <c r="BE84" s="158"/>
      <c r="BF84" s="158"/>
      <c r="BG84" s="158"/>
      <c r="BH84" s="158"/>
      <c r="BI84" s="158"/>
      <c r="BJ84" s="158"/>
      <c r="BK84" s="158"/>
      <c r="BL84" s="158"/>
      <c r="BM84" s="158"/>
      <c r="BN84" s="158"/>
      <c r="BO84" s="158"/>
      <c r="BP84" s="158"/>
      <c r="BQ84" s="158"/>
      <c r="BR84" s="158"/>
      <c r="BS84" s="158"/>
      <c r="BT84" s="158"/>
      <c r="BU84" s="158"/>
      <c r="BV84" s="158"/>
      <c r="BW84" s="158"/>
      <c r="BX84" s="158"/>
      <c r="BY84" s="158"/>
      <c r="BZ84" s="158"/>
      <c r="CA84" s="158"/>
      <c r="CB84" s="158"/>
      <c r="CC84" s="158"/>
      <c r="CD84" s="158"/>
      <c r="CE84" s="158"/>
      <c r="CF84" s="158"/>
      <c r="CG84" s="158"/>
      <c r="CH84" s="158"/>
      <c r="CI84" s="158"/>
    </row>
    <row r="85" spans="1:87" s="104" customFormat="1" ht="47.25" customHeight="1" hidden="1">
      <c r="A85" s="263" t="s">
        <v>632</v>
      </c>
      <c r="B85" s="263" t="s">
        <v>471</v>
      </c>
      <c r="C85" s="263" t="s">
        <v>165</v>
      </c>
      <c r="D85" s="263" t="s">
        <v>436</v>
      </c>
      <c r="E85" s="347" t="s">
        <v>633</v>
      </c>
      <c r="F85" s="187" t="s">
        <v>527</v>
      </c>
      <c r="G85" s="344"/>
      <c r="H85" s="344"/>
      <c r="I85" s="344">
        <f t="shared" si="2"/>
        <v>0</v>
      </c>
      <c r="J85" s="237"/>
      <c r="K85" s="106"/>
      <c r="N85" s="114"/>
      <c r="O85" s="115"/>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row>
    <row r="86" spans="1:87" s="104" customFormat="1" ht="15.75" customHeight="1">
      <c r="A86" s="308" t="s">
        <v>634</v>
      </c>
      <c r="B86" s="308" t="s">
        <v>1087</v>
      </c>
      <c r="C86" s="308" t="s">
        <v>612</v>
      </c>
      <c r="D86" s="308"/>
      <c r="E86" s="208" t="s">
        <v>613</v>
      </c>
      <c r="F86" s="199"/>
      <c r="G86" s="378">
        <f>G87+G89</f>
        <v>3716232</v>
      </c>
      <c r="H86" s="378">
        <f>H87+H89</f>
        <v>0</v>
      </c>
      <c r="I86" s="378">
        <f>I87+I89</f>
        <v>3716232</v>
      </c>
      <c r="J86" s="242">
        <f>J87</f>
        <v>0</v>
      </c>
      <c r="K86" s="106"/>
      <c r="N86" s="114"/>
      <c r="O86" s="115"/>
      <c r="AL86" s="158"/>
      <c r="AM86" s="158"/>
      <c r="AN86" s="158"/>
      <c r="AO86" s="158"/>
      <c r="AP86" s="158"/>
      <c r="AQ86" s="158"/>
      <c r="AR86" s="158"/>
      <c r="AS86" s="158"/>
      <c r="AT86" s="158"/>
      <c r="AU86" s="158"/>
      <c r="AV86" s="158"/>
      <c r="AW86" s="158"/>
      <c r="AX86" s="158"/>
      <c r="AY86" s="158"/>
      <c r="AZ86" s="158"/>
      <c r="BA86" s="158"/>
      <c r="BB86" s="158"/>
      <c r="BC86" s="158"/>
      <c r="BD86" s="158"/>
      <c r="BE86" s="158"/>
      <c r="BF86" s="158"/>
      <c r="BG86" s="158"/>
      <c r="BH86" s="158"/>
      <c r="BI86" s="158"/>
      <c r="BJ86" s="158"/>
      <c r="BK86" s="158"/>
      <c r="BL86" s="158"/>
      <c r="BM86" s="158"/>
      <c r="BN86" s="158"/>
      <c r="BO86" s="158"/>
      <c r="BP86" s="158"/>
      <c r="BQ86" s="158"/>
      <c r="BR86" s="158"/>
      <c r="BS86" s="158"/>
      <c r="BT86" s="158"/>
      <c r="BU86" s="158"/>
      <c r="BV86" s="158"/>
      <c r="BW86" s="158"/>
      <c r="BX86" s="158"/>
      <c r="BY86" s="158"/>
      <c r="BZ86" s="158"/>
      <c r="CA86" s="158"/>
      <c r="CB86" s="158"/>
      <c r="CC86" s="158"/>
      <c r="CD86" s="158"/>
      <c r="CE86" s="158"/>
      <c r="CF86" s="158"/>
      <c r="CG86" s="158"/>
      <c r="CH86" s="158"/>
      <c r="CI86" s="158"/>
    </row>
    <row r="87" spans="1:87" s="104" customFormat="1" ht="31.5" customHeight="1">
      <c r="A87" s="263" t="s">
        <v>635</v>
      </c>
      <c r="B87" s="263" t="s">
        <v>1094</v>
      </c>
      <c r="C87" s="263" t="s">
        <v>81</v>
      </c>
      <c r="D87" s="263" t="s">
        <v>444</v>
      </c>
      <c r="E87" s="276" t="s">
        <v>636</v>
      </c>
      <c r="F87" s="231"/>
      <c r="G87" s="367">
        <f>G88</f>
        <v>1640155</v>
      </c>
      <c r="H87" s="367"/>
      <c r="I87" s="367">
        <f>G87+H87</f>
        <v>1640155</v>
      </c>
      <c r="J87" s="242"/>
      <c r="K87" s="106"/>
      <c r="N87" s="114"/>
      <c r="O87" s="115"/>
      <c r="AL87" s="158"/>
      <c r="AM87" s="158"/>
      <c r="AN87" s="158"/>
      <c r="AO87" s="158"/>
      <c r="AP87" s="158"/>
      <c r="AQ87" s="158"/>
      <c r="AR87" s="158"/>
      <c r="AS87" s="158"/>
      <c r="AT87" s="158"/>
      <c r="AU87" s="158"/>
      <c r="AV87" s="158"/>
      <c r="AW87" s="158"/>
      <c r="AX87" s="158"/>
      <c r="AY87" s="158"/>
      <c r="AZ87" s="158"/>
      <c r="BA87" s="158"/>
      <c r="BB87" s="158"/>
      <c r="BC87" s="158"/>
      <c r="BD87" s="158"/>
      <c r="BE87" s="158"/>
      <c r="BF87" s="158"/>
      <c r="BG87" s="158"/>
      <c r="BH87" s="158"/>
      <c r="BI87" s="158"/>
      <c r="BJ87" s="158"/>
      <c r="BK87" s="158"/>
      <c r="BL87" s="158"/>
      <c r="BM87" s="158"/>
      <c r="BN87" s="158"/>
      <c r="BO87" s="158"/>
      <c r="BP87" s="158"/>
      <c r="BQ87" s="158"/>
      <c r="BR87" s="158"/>
      <c r="BS87" s="158"/>
      <c r="BT87" s="158"/>
      <c r="BU87" s="158"/>
      <c r="BV87" s="158"/>
      <c r="BW87" s="158"/>
      <c r="BX87" s="158"/>
      <c r="BY87" s="158"/>
      <c r="BZ87" s="158"/>
      <c r="CA87" s="158"/>
      <c r="CB87" s="158"/>
      <c r="CC87" s="158"/>
      <c r="CD87" s="158"/>
      <c r="CE87" s="158"/>
      <c r="CF87" s="158"/>
      <c r="CG87" s="158"/>
      <c r="CH87" s="158"/>
      <c r="CI87" s="158"/>
    </row>
    <row r="88" spans="1:87" s="104" customFormat="1" ht="49.5" customHeight="1">
      <c r="A88" s="260" t="s">
        <v>1247</v>
      </c>
      <c r="B88" s="260" t="s">
        <v>1248</v>
      </c>
      <c r="C88" s="260"/>
      <c r="D88" s="260" t="s">
        <v>444</v>
      </c>
      <c r="E88" s="421" t="s">
        <v>1264</v>
      </c>
      <c r="F88" s="412" t="s">
        <v>1265</v>
      </c>
      <c r="G88" s="367">
        <f>1690555-50400</f>
        <v>1640155</v>
      </c>
      <c r="H88" s="367"/>
      <c r="I88" s="367">
        <f t="shared" si="2"/>
        <v>1640155</v>
      </c>
      <c r="J88" s="242"/>
      <c r="K88" s="106"/>
      <c r="N88" s="114"/>
      <c r="O88" s="115"/>
      <c r="AL88" s="158"/>
      <c r="AM88" s="158"/>
      <c r="AN88" s="158"/>
      <c r="AO88" s="158"/>
      <c r="AP88" s="158"/>
      <c r="AQ88" s="158"/>
      <c r="AR88" s="158"/>
      <c r="AS88" s="158"/>
      <c r="AT88" s="158"/>
      <c r="AU88" s="158"/>
      <c r="AV88" s="158"/>
      <c r="AW88" s="158"/>
      <c r="AX88" s="158"/>
      <c r="AY88" s="158"/>
      <c r="AZ88" s="158"/>
      <c r="BA88" s="158"/>
      <c r="BB88" s="158"/>
      <c r="BC88" s="158"/>
      <c r="BD88" s="158"/>
      <c r="BE88" s="158"/>
      <c r="BF88" s="158"/>
      <c r="BG88" s="158"/>
      <c r="BH88" s="158"/>
      <c r="BI88" s="158"/>
      <c r="BJ88" s="158"/>
      <c r="BK88" s="158"/>
      <c r="BL88" s="158"/>
      <c r="BM88" s="158"/>
      <c r="BN88" s="158"/>
      <c r="BO88" s="158"/>
      <c r="BP88" s="158"/>
      <c r="BQ88" s="158"/>
      <c r="BR88" s="158"/>
      <c r="BS88" s="158"/>
      <c r="BT88" s="158"/>
      <c r="BU88" s="158"/>
      <c r="BV88" s="158"/>
      <c r="BW88" s="158"/>
      <c r="BX88" s="158"/>
      <c r="BY88" s="158"/>
      <c r="BZ88" s="158"/>
      <c r="CA88" s="158"/>
      <c r="CB88" s="158"/>
      <c r="CC88" s="158"/>
      <c r="CD88" s="158"/>
      <c r="CE88" s="158"/>
      <c r="CF88" s="158"/>
      <c r="CG88" s="158"/>
      <c r="CH88" s="158"/>
      <c r="CI88" s="158"/>
    </row>
    <row r="89" spans="1:87" s="104" customFormat="1" ht="31.5" customHeight="1">
      <c r="A89" s="337" t="s">
        <v>1172</v>
      </c>
      <c r="B89" s="337" t="s">
        <v>1131</v>
      </c>
      <c r="C89" s="285"/>
      <c r="D89" s="337"/>
      <c r="E89" s="276" t="s">
        <v>93</v>
      </c>
      <c r="F89" s="412" t="s">
        <v>1268</v>
      </c>
      <c r="G89" s="367">
        <f>2025677+50400</f>
        <v>2076077</v>
      </c>
      <c r="H89" s="367">
        <f>H90</f>
        <v>0</v>
      </c>
      <c r="I89" s="367">
        <f t="shared" si="2"/>
        <v>2076077</v>
      </c>
      <c r="J89" s="242"/>
      <c r="K89" s="106"/>
      <c r="N89" s="114"/>
      <c r="O89" s="115"/>
      <c r="AL89" s="158"/>
      <c r="AM89" s="158"/>
      <c r="AN89" s="158"/>
      <c r="AO89" s="158"/>
      <c r="AP89" s="158"/>
      <c r="AQ89" s="158"/>
      <c r="AR89" s="158"/>
      <c r="AS89" s="158"/>
      <c r="AT89" s="158"/>
      <c r="AU89" s="158"/>
      <c r="AV89" s="158"/>
      <c r="AW89" s="158"/>
      <c r="AX89" s="158"/>
      <c r="AY89" s="158"/>
      <c r="AZ89" s="158"/>
      <c r="BA89" s="158"/>
      <c r="BB89" s="158"/>
      <c r="BC89" s="158"/>
      <c r="BD89" s="158"/>
      <c r="BE89" s="158"/>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c r="CG89" s="158"/>
      <c r="CH89" s="158"/>
      <c r="CI89" s="158"/>
    </row>
    <row r="90" spans="1:87" s="104" customFormat="1" ht="31.5" customHeight="1" hidden="1">
      <c r="A90" s="337" t="s">
        <v>1171</v>
      </c>
      <c r="B90" s="337" t="s">
        <v>1132</v>
      </c>
      <c r="C90" s="285" t="s">
        <v>86</v>
      </c>
      <c r="D90" s="337"/>
      <c r="E90" s="210" t="s">
        <v>724</v>
      </c>
      <c r="F90" s="398" t="s">
        <v>1215</v>
      </c>
      <c r="G90" s="75">
        <v>2025677</v>
      </c>
      <c r="H90" s="75"/>
      <c r="I90" s="75">
        <f t="shared" si="2"/>
        <v>2025677</v>
      </c>
      <c r="J90" s="242"/>
      <c r="K90" s="106"/>
      <c r="N90" s="114"/>
      <c r="O90" s="115"/>
      <c r="AL90" s="158"/>
      <c r="AM90" s="158"/>
      <c r="AN90" s="158"/>
      <c r="AO90" s="158"/>
      <c r="AP90" s="158"/>
      <c r="AQ90" s="158"/>
      <c r="AR90" s="158"/>
      <c r="AS90" s="158"/>
      <c r="AT90" s="158"/>
      <c r="AU90" s="158"/>
      <c r="AV90" s="158"/>
      <c r="AW90" s="158"/>
      <c r="AX90" s="158"/>
      <c r="AY90" s="158"/>
      <c r="AZ90" s="158"/>
      <c r="BA90" s="158"/>
      <c r="BB90" s="158"/>
      <c r="BC90" s="158"/>
      <c r="BD90" s="158"/>
      <c r="BE90" s="158"/>
      <c r="BF90" s="158"/>
      <c r="BG90" s="158"/>
      <c r="BH90" s="158"/>
      <c r="BI90" s="158"/>
      <c r="BJ90" s="158"/>
      <c r="BK90" s="158"/>
      <c r="BL90" s="158"/>
      <c r="BM90" s="158"/>
      <c r="BN90" s="158"/>
      <c r="BO90" s="158"/>
      <c r="BP90" s="158"/>
      <c r="BQ90" s="158"/>
      <c r="BR90" s="158"/>
      <c r="BS90" s="158"/>
      <c r="BT90" s="158"/>
      <c r="BU90" s="158"/>
      <c r="BV90" s="158"/>
      <c r="BW90" s="158"/>
      <c r="BX90" s="158"/>
      <c r="BY90" s="158"/>
      <c r="BZ90" s="158"/>
      <c r="CA90" s="158"/>
      <c r="CB90" s="158"/>
      <c r="CC90" s="158"/>
      <c r="CD90" s="158"/>
      <c r="CE90" s="158"/>
      <c r="CF90" s="158"/>
      <c r="CG90" s="158"/>
      <c r="CH90" s="158"/>
      <c r="CI90" s="158"/>
    </row>
    <row r="91" spans="1:87" s="104" customFormat="1" ht="15.75" customHeight="1">
      <c r="A91" s="308" t="s">
        <v>637</v>
      </c>
      <c r="B91" s="308" t="s">
        <v>1095</v>
      </c>
      <c r="C91" s="263" t="s">
        <v>638</v>
      </c>
      <c r="D91" s="263"/>
      <c r="E91" s="208" t="s">
        <v>639</v>
      </c>
      <c r="F91" s="199"/>
      <c r="G91" s="378">
        <f>G92+G95+G101+G102+G98</f>
        <v>21740639</v>
      </c>
      <c r="H91" s="378">
        <f>H92+H95+H101+H102+H98</f>
        <v>12387514</v>
      </c>
      <c r="I91" s="378">
        <f>I92+I95+I101+I102+I98</f>
        <v>34128153</v>
      </c>
      <c r="J91" s="242">
        <f>J92+J95+J101+J102</f>
        <v>94100</v>
      </c>
      <c r="K91" s="106"/>
      <c r="N91" s="114"/>
      <c r="O91" s="115"/>
      <c r="AL91" s="158"/>
      <c r="AM91" s="158"/>
      <c r="AN91" s="158"/>
      <c r="AO91" s="158"/>
      <c r="AP91" s="158"/>
      <c r="AQ91" s="158"/>
      <c r="AR91" s="158"/>
      <c r="AS91" s="158"/>
      <c r="AT91" s="158"/>
      <c r="AU91" s="158"/>
      <c r="AV91" s="158"/>
      <c r="AW91" s="158"/>
      <c r="AX91" s="158"/>
      <c r="AY91" s="158"/>
      <c r="AZ91" s="158"/>
      <c r="BA91" s="158"/>
      <c r="BB91" s="158"/>
      <c r="BC91" s="158"/>
      <c r="BD91" s="158"/>
      <c r="BE91" s="158"/>
      <c r="BF91" s="158"/>
      <c r="BG91" s="158"/>
      <c r="BH91" s="158"/>
      <c r="BI91" s="158"/>
      <c r="BJ91" s="158"/>
      <c r="BK91" s="158"/>
      <c r="BL91" s="158"/>
      <c r="BM91" s="158"/>
      <c r="BN91" s="158"/>
      <c r="BO91" s="158"/>
      <c r="BP91" s="158"/>
      <c r="BQ91" s="158"/>
      <c r="BR91" s="158"/>
      <c r="BS91" s="158"/>
      <c r="BT91" s="158"/>
      <c r="BU91" s="158"/>
      <c r="BV91" s="158"/>
      <c r="BW91" s="158"/>
      <c r="BX91" s="158"/>
      <c r="BY91" s="158"/>
      <c r="BZ91" s="158"/>
      <c r="CA91" s="158"/>
      <c r="CB91" s="158"/>
      <c r="CC91" s="158"/>
      <c r="CD91" s="158"/>
      <c r="CE91" s="158"/>
      <c r="CF91" s="158"/>
      <c r="CG91" s="158"/>
      <c r="CH91" s="158"/>
      <c r="CI91" s="158"/>
    </row>
    <row r="92" spans="1:87" s="104" customFormat="1" ht="15.75" customHeight="1">
      <c r="A92" s="263" t="s">
        <v>640</v>
      </c>
      <c r="B92" s="263" t="s">
        <v>1096</v>
      </c>
      <c r="C92" s="263"/>
      <c r="D92" s="263"/>
      <c r="E92" s="276" t="s">
        <v>641</v>
      </c>
      <c r="F92" s="199"/>
      <c r="G92" s="367">
        <f>G93+G94</f>
        <v>1011825</v>
      </c>
      <c r="H92" s="367">
        <f>H93+H94</f>
        <v>0</v>
      </c>
      <c r="I92" s="367">
        <f>G92+H92</f>
        <v>1011825</v>
      </c>
      <c r="J92" s="242">
        <f>J93+J94</f>
        <v>0</v>
      </c>
      <c r="K92" s="106"/>
      <c r="N92" s="114"/>
      <c r="O92" s="115"/>
      <c r="AL92" s="158"/>
      <c r="AM92" s="158"/>
      <c r="AN92" s="158"/>
      <c r="AO92" s="158"/>
      <c r="AP92" s="158"/>
      <c r="AQ92" s="158"/>
      <c r="AR92" s="158"/>
      <c r="AS92" s="158"/>
      <c r="AT92" s="158"/>
      <c r="AU92" s="158"/>
      <c r="AV92" s="158"/>
      <c r="AW92" s="158"/>
      <c r="AX92" s="158"/>
      <c r="AY92" s="158"/>
      <c r="AZ92" s="158"/>
      <c r="BA92" s="158"/>
      <c r="BB92" s="158"/>
      <c r="BC92" s="158"/>
      <c r="BD92" s="158"/>
      <c r="BE92" s="158"/>
      <c r="BF92" s="158"/>
      <c r="BG92" s="158"/>
      <c r="BH92" s="158"/>
      <c r="BI92" s="158"/>
      <c r="BJ92" s="158"/>
      <c r="BK92" s="158"/>
      <c r="BL92" s="158"/>
      <c r="BM92" s="158"/>
      <c r="BN92" s="158"/>
      <c r="BO92" s="158"/>
      <c r="BP92" s="158"/>
      <c r="BQ92" s="158"/>
      <c r="BR92" s="158"/>
      <c r="BS92" s="158"/>
      <c r="BT92" s="158"/>
      <c r="BU92" s="158"/>
      <c r="BV92" s="158"/>
      <c r="BW92" s="158"/>
      <c r="BX92" s="158"/>
      <c r="BY92" s="158"/>
      <c r="BZ92" s="158"/>
      <c r="CA92" s="158"/>
      <c r="CB92" s="158"/>
      <c r="CC92" s="158"/>
      <c r="CD92" s="158"/>
      <c r="CE92" s="158"/>
      <c r="CF92" s="158"/>
      <c r="CG92" s="158"/>
      <c r="CH92" s="158"/>
      <c r="CI92" s="158"/>
    </row>
    <row r="93" spans="1:87" s="104" customFormat="1" ht="47.25" customHeight="1">
      <c r="A93" s="263" t="s">
        <v>642</v>
      </c>
      <c r="B93" s="263" t="s">
        <v>1097</v>
      </c>
      <c r="C93" s="263">
        <v>130102</v>
      </c>
      <c r="D93" s="263" t="s">
        <v>445</v>
      </c>
      <c r="E93" s="421" t="s">
        <v>643</v>
      </c>
      <c r="F93" s="188" t="s">
        <v>527</v>
      </c>
      <c r="G93" s="75">
        <f>633667+138808</f>
        <v>772475</v>
      </c>
      <c r="H93" s="75"/>
      <c r="I93" s="75">
        <f t="shared" si="2"/>
        <v>772475</v>
      </c>
      <c r="J93" s="236"/>
      <c r="K93" s="106"/>
      <c r="N93" s="158"/>
      <c r="AL93" s="158"/>
      <c r="AM93" s="158"/>
      <c r="AN93" s="158"/>
      <c r="AO93" s="158"/>
      <c r="AP93" s="158"/>
      <c r="AQ93" s="158"/>
      <c r="AR93" s="158"/>
      <c r="AS93" s="158"/>
      <c r="AT93" s="158"/>
      <c r="AU93" s="158"/>
      <c r="AV93" s="158"/>
      <c r="AW93" s="158"/>
      <c r="AX93" s="158"/>
      <c r="AY93" s="158"/>
      <c r="AZ93" s="158"/>
      <c r="BA93" s="158"/>
      <c r="BB93" s="158"/>
      <c r="BC93" s="158"/>
      <c r="BD93" s="158"/>
      <c r="BE93" s="158"/>
      <c r="BF93" s="158"/>
      <c r="BG93" s="158"/>
      <c r="BH93" s="158"/>
      <c r="BI93" s="158"/>
      <c r="BJ93" s="158"/>
      <c r="BK93" s="158"/>
      <c r="BL93" s="158"/>
      <c r="BM93" s="158"/>
      <c r="BN93" s="158"/>
      <c r="BO93" s="158"/>
      <c r="BP93" s="158"/>
      <c r="BQ93" s="158"/>
      <c r="BR93" s="158"/>
      <c r="BS93" s="158"/>
      <c r="BT93" s="158"/>
      <c r="BU93" s="158"/>
      <c r="BV93" s="158"/>
      <c r="BW93" s="158"/>
      <c r="BX93" s="158"/>
      <c r="BY93" s="158"/>
      <c r="BZ93" s="158"/>
      <c r="CA93" s="158"/>
      <c r="CB93" s="158"/>
      <c r="CC93" s="158"/>
      <c r="CD93" s="158"/>
      <c r="CE93" s="158"/>
      <c r="CF93" s="158"/>
      <c r="CG93" s="158"/>
      <c r="CH93" s="158"/>
      <c r="CI93" s="158"/>
    </row>
    <row r="94" spans="1:87" s="104" customFormat="1" ht="47.25" customHeight="1">
      <c r="A94" s="263" t="s">
        <v>644</v>
      </c>
      <c r="B94" s="263" t="s">
        <v>1098</v>
      </c>
      <c r="C94" s="263" t="s">
        <v>238</v>
      </c>
      <c r="D94" s="263" t="s">
        <v>445</v>
      </c>
      <c r="E94" s="421" t="s">
        <v>1174</v>
      </c>
      <c r="F94" s="188" t="s">
        <v>527</v>
      </c>
      <c r="G94" s="75">
        <f>207319+32031</f>
        <v>239350</v>
      </c>
      <c r="H94" s="75"/>
      <c r="I94" s="75">
        <f t="shared" si="2"/>
        <v>239350</v>
      </c>
      <c r="J94" s="236"/>
      <c r="K94" s="106"/>
      <c r="N94" s="158"/>
      <c r="AL94" s="158"/>
      <c r="AM94" s="158"/>
      <c r="AN94" s="158"/>
      <c r="AO94" s="158"/>
      <c r="AP94" s="158"/>
      <c r="AQ94" s="158"/>
      <c r="AR94" s="158"/>
      <c r="AS94" s="158"/>
      <c r="AT94" s="158"/>
      <c r="AU94" s="158"/>
      <c r="AV94" s="158"/>
      <c r="AW94" s="158"/>
      <c r="AX94" s="158"/>
      <c r="AY94" s="158"/>
      <c r="AZ94" s="158"/>
      <c r="BA94" s="158"/>
      <c r="BB94" s="158"/>
      <c r="BC94" s="158"/>
      <c r="BD94" s="158"/>
      <c r="BE94" s="158"/>
      <c r="BF94" s="158"/>
      <c r="BG94" s="158"/>
      <c r="BH94" s="158"/>
      <c r="BI94" s="158"/>
      <c r="BJ94" s="158"/>
      <c r="BK94" s="158"/>
      <c r="BL94" s="158"/>
      <c r="BM94" s="158"/>
      <c r="BN94" s="158"/>
      <c r="BO94" s="158"/>
      <c r="BP94" s="158"/>
      <c r="BQ94" s="158"/>
      <c r="BR94" s="158"/>
      <c r="BS94" s="158"/>
      <c r="BT94" s="158"/>
      <c r="BU94" s="158"/>
      <c r="BV94" s="158"/>
      <c r="BW94" s="158"/>
      <c r="BX94" s="158"/>
      <c r="BY94" s="158"/>
      <c r="BZ94" s="158"/>
      <c r="CA94" s="158"/>
      <c r="CB94" s="158"/>
      <c r="CC94" s="158"/>
      <c r="CD94" s="158"/>
      <c r="CE94" s="158"/>
      <c r="CF94" s="158"/>
      <c r="CG94" s="158"/>
      <c r="CH94" s="158"/>
      <c r="CI94" s="158"/>
    </row>
    <row r="95" spans="1:87" s="104" customFormat="1" ht="15.75" customHeight="1">
      <c r="A95" s="263" t="s">
        <v>1194</v>
      </c>
      <c r="B95" s="263" t="s">
        <v>1199</v>
      </c>
      <c r="C95" s="263"/>
      <c r="D95" s="263"/>
      <c r="E95" s="276" t="s">
        <v>1196</v>
      </c>
      <c r="F95" s="199"/>
      <c r="G95" s="75">
        <f>G96+G97</f>
        <v>5609387</v>
      </c>
      <c r="H95" s="75">
        <f>H96+H97</f>
        <v>4792584</v>
      </c>
      <c r="I95" s="75">
        <f t="shared" si="2"/>
        <v>10401971</v>
      </c>
      <c r="J95" s="236">
        <f>J96+J97+J99</f>
        <v>0</v>
      </c>
      <c r="K95" s="106"/>
      <c r="N95" s="158"/>
      <c r="AL95" s="158"/>
      <c r="AM95" s="158"/>
      <c r="AN95" s="158"/>
      <c r="AO95" s="158"/>
      <c r="AP95" s="158"/>
      <c r="AQ95" s="158"/>
      <c r="AR95" s="158"/>
      <c r="AS95" s="158"/>
      <c r="AT95" s="158"/>
      <c r="AU95" s="158"/>
      <c r="AV95" s="158"/>
      <c r="AW95" s="158"/>
      <c r="AX95" s="158"/>
      <c r="AY95" s="158"/>
      <c r="AZ95" s="158"/>
      <c r="BA95" s="158"/>
      <c r="BB95" s="158"/>
      <c r="BC95" s="158"/>
      <c r="BD95" s="158"/>
      <c r="BE95" s="158"/>
      <c r="BF95" s="158"/>
      <c r="BG95" s="158"/>
      <c r="BH95" s="158"/>
      <c r="BI95" s="158"/>
      <c r="BJ95" s="158"/>
      <c r="BK95" s="158"/>
      <c r="BL95" s="158"/>
      <c r="BM95" s="158"/>
      <c r="BN95" s="158"/>
      <c r="BO95" s="158"/>
      <c r="BP95" s="158"/>
      <c r="BQ95" s="158"/>
      <c r="BR95" s="158"/>
      <c r="BS95" s="158"/>
      <c r="BT95" s="158"/>
      <c r="BU95" s="158"/>
      <c r="BV95" s="158"/>
      <c r="BW95" s="158"/>
      <c r="BX95" s="158"/>
      <c r="BY95" s="158"/>
      <c r="BZ95" s="158"/>
      <c r="CA95" s="158"/>
      <c r="CB95" s="158"/>
      <c r="CC95" s="158"/>
      <c r="CD95" s="158"/>
      <c r="CE95" s="158"/>
      <c r="CF95" s="158"/>
      <c r="CG95" s="158"/>
      <c r="CH95" s="158"/>
      <c r="CI95" s="158"/>
    </row>
    <row r="96" spans="1:87" s="104" customFormat="1" ht="48.75" customHeight="1">
      <c r="A96" s="260" t="s">
        <v>1195</v>
      </c>
      <c r="B96" s="260" t="s">
        <v>1198</v>
      </c>
      <c r="C96" s="260">
        <v>130107</v>
      </c>
      <c r="D96" s="260" t="s">
        <v>445</v>
      </c>
      <c r="E96" s="411" t="s">
        <v>645</v>
      </c>
      <c r="F96" s="188" t="s">
        <v>527</v>
      </c>
      <c r="G96" s="75">
        <f>3583953+1687793+(125000)</f>
        <v>5396746</v>
      </c>
      <c r="H96" s="75">
        <f>1500000-217736+1473902+214641+994630+691253+(25000)</f>
        <v>4681690</v>
      </c>
      <c r="I96" s="75">
        <f t="shared" si="2"/>
        <v>10078436</v>
      </c>
      <c r="J96" s="272"/>
      <c r="K96" s="113"/>
      <c r="M96" s="115"/>
      <c r="N96" s="158"/>
      <c r="AL96" s="158"/>
      <c r="AM96" s="158"/>
      <c r="AN96" s="158"/>
      <c r="AO96" s="158"/>
      <c r="AP96" s="158"/>
      <c r="AQ96" s="158"/>
      <c r="AR96" s="158"/>
      <c r="AS96" s="158"/>
      <c r="AT96" s="158"/>
      <c r="AU96" s="158"/>
      <c r="AV96" s="158"/>
      <c r="AW96" s="158"/>
      <c r="AX96" s="158"/>
      <c r="AY96" s="158"/>
      <c r="AZ96" s="158"/>
      <c r="BA96" s="158"/>
      <c r="BB96" s="158"/>
      <c r="BC96" s="158"/>
      <c r="BD96" s="158"/>
      <c r="BE96" s="158"/>
      <c r="BF96" s="158"/>
      <c r="BG96" s="158"/>
      <c r="BH96" s="158"/>
      <c r="BI96" s="158"/>
      <c r="BJ96" s="158"/>
      <c r="BK96" s="158"/>
      <c r="BL96" s="158"/>
      <c r="BM96" s="158"/>
      <c r="BN96" s="158"/>
      <c r="BO96" s="158"/>
      <c r="BP96" s="158"/>
      <c r="BQ96" s="158"/>
      <c r="BR96" s="158"/>
      <c r="BS96" s="158"/>
      <c r="BT96" s="158"/>
      <c r="BU96" s="158"/>
      <c r="BV96" s="158"/>
      <c r="BW96" s="158"/>
      <c r="BX96" s="158"/>
      <c r="BY96" s="158"/>
      <c r="BZ96" s="158"/>
      <c r="CA96" s="158"/>
      <c r="CB96" s="158"/>
      <c r="CC96" s="158"/>
      <c r="CD96" s="158"/>
      <c r="CE96" s="158"/>
      <c r="CF96" s="158"/>
      <c r="CG96" s="158"/>
      <c r="CH96" s="158"/>
      <c r="CI96" s="158"/>
    </row>
    <row r="97" spans="1:87" s="104" customFormat="1" ht="45" customHeight="1">
      <c r="A97" s="260" t="s">
        <v>1195</v>
      </c>
      <c r="B97" s="260" t="s">
        <v>1198</v>
      </c>
      <c r="C97" s="260">
        <v>130107</v>
      </c>
      <c r="D97" s="260" t="s">
        <v>445</v>
      </c>
      <c r="E97" s="411" t="s">
        <v>645</v>
      </c>
      <c r="F97" s="100" t="s">
        <v>1280</v>
      </c>
      <c r="G97" s="81">
        <f>34170+70665+39000-29500+20006+12000+25000+7500+27200+6600</f>
        <v>212641</v>
      </c>
      <c r="H97" s="81">
        <f>22000+34000-5000+58500+7994+35000-35000-6600</f>
        <v>110894</v>
      </c>
      <c r="I97" s="75">
        <f t="shared" si="2"/>
        <v>323535</v>
      </c>
      <c r="J97" s="273"/>
      <c r="K97" s="113"/>
      <c r="N97" s="158"/>
      <c r="AL97" s="158"/>
      <c r="AM97" s="158"/>
      <c r="AN97" s="158"/>
      <c r="AO97" s="158"/>
      <c r="AP97" s="158"/>
      <c r="AQ97" s="158"/>
      <c r="AR97" s="158"/>
      <c r="AS97" s="158"/>
      <c r="AT97" s="158"/>
      <c r="AU97" s="158"/>
      <c r="AV97" s="158"/>
      <c r="AW97" s="158"/>
      <c r="AX97" s="158"/>
      <c r="AY97" s="158"/>
      <c r="AZ97" s="158"/>
      <c r="BA97" s="158"/>
      <c r="BB97" s="158"/>
      <c r="BC97" s="158"/>
      <c r="BD97" s="158"/>
      <c r="BE97" s="158"/>
      <c r="BF97" s="158"/>
      <c r="BG97" s="158"/>
      <c r="BH97" s="158"/>
      <c r="BI97" s="158"/>
      <c r="BJ97" s="158"/>
      <c r="BK97" s="158"/>
      <c r="BL97" s="158"/>
      <c r="BM97" s="158"/>
      <c r="BN97" s="158"/>
      <c r="BO97" s="158"/>
      <c r="BP97" s="158"/>
      <c r="BQ97" s="158"/>
      <c r="BR97" s="158"/>
      <c r="BS97" s="158"/>
      <c r="BT97" s="158"/>
      <c r="BU97" s="158"/>
      <c r="BV97" s="158"/>
      <c r="BW97" s="158"/>
      <c r="BX97" s="158"/>
      <c r="BY97" s="158"/>
      <c r="BZ97" s="158"/>
      <c r="CA97" s="158"/>
      <c r="CB97" s="158"/>
      <c r="CC97" s="158"/>
      <c r="CD97" s="158"/>
      <c r="CE97" s="158"/>
      <c r="CF97" s="158"/>
      <c r="CG97" s="158"/>
      <c r="CH97" s="158"/>
      <c r="CI97" s="158"/>
    </row>
    <row r="98" spans="1:87" s="104" customFormat="1" ht="45" customHeight="1">
      <c r="A98" s="260" t="s">
        <v>1197</v>
      </c>
      <c r="B98" s="260" t="s">
        <v>1200</v>
      </c>
      <c r="C98" s="260"/>
      <c r="D98" s="263"/>
      <c r="E98" s="347" t="s">
        <v>1201</v>
      </c>
      <c r="F98" s="215"/>
      <c r="G98" s="75">
        <f>G99+G100</f>
        <v>14335478</v>
      </c>
      <c r="H98" s="75">
        <f>H99+H100</f>
        <v>7500830</v>
      </c>
      <c r="I98" s="75">
        <f>G98+H98</f>
        <v>21836308</v>
      </c>
      <c r="J98" s="273"/>
      <c r="K98" s="113"/>
      <c r="N98" s="158"/>
      <c r="AL98" s="158"/>
      <c r="AM98" s="158"/>
      <c r="AN98" s="158"/>
      <c r="AO98" s="158"/>
      <c r="AP98" s="158"/>
      <c r="AQ98" s="158"/>
      <c r="AR98" s="158"/>
      <c r="AS98" s="158"/>
      <c r="AT98" s="158"/>
      <c r="AU98" s="158"/>
      <c r="AV98" s="158"/>
      <c r="AW98" s="158"/>
      <c r="AX98" s="158"/>
      <c r="AY98" s="158"/>
      <c r="AZ98" s="158"/>
      <c r="BA98" s="158"/>
      <c r="BB98" s="158"/>
      <c r="BC98" s="158"/>
      <c r="BD98" s="158"/>
      <c r="BE98" s="158"/>
      <c r="BF98" s="158"/>
      <c r="BG98" s="158"/>
      <c r="BH98" s="158"/>
      <c r="BI98" s="158"/>
      <c r="BJ98" s="158"/>
      <c r="BK98" s="158"/>
      <c r="BL98" s="158"/>
      <c r="BM98" s="158"/>
      <c r="BN98" s="158"/>
      <c r="BO98" s="158"/>
      <c r="BP98" s="158"/>
      <c r="BQ98" s="158"/>
      <c r="BR98" s="158"/>
      <c r="BS98" s="158"/>
      <c r="BT98" s="158"/>
      <c r="BU98" s="158"/>
      <c r="BV98" s="158"/>
      <c r="BW98" s="158"/>
      <c r="BX98" s="158"/>
      <c r="BY98" s="158"/>
      <c r="BZ98" s="158"/>
      <c r="CA98" s="158"/>
      <c r="CB98" s="158"/>
      <c r="CC98" s="158"/>
      <c r="CD98" s="158"/>
      <c r="CE98" s="158"/>
      <c r="CF98" s="158"/>
      <c r="CG98" s="158"/>
      <c r="CH98" s="158"/>
      <c r="CI98" s="158"/>
    </row>
    <row r="99" spans="1:87" s="104" customFormat="1" ht="47.25" customHeight="1">
      <c r="A99" s="263" t="s">
        <v>1202</v>
      </c>
      <c r="B99" s="263" t="s">
        <v>1203</v>
      </c>
      <c r="C99" s="263">
        <v>130110</v>
      </c>
      <c r="D99" s="263" t="s">
        <v>445</v>
      </c>
      <c r="E99" s="421" t="s">
        <v>646</v>
      </c>
      <c r="F99" s="188" t="s">
        <v>527</v>
      </c>
      <c r="G99" s="75">
        <f>206443+54224+14049811</f>
        <v>14310478</v>
      </c>
      <c r="H99" s="75">
        <f>397654+1852775+5232401</f>
        <v>7482830</v>
      </c>
      <c r="I99" s="75">
        <f t="shared" si="2"/>
        <v>21793308</v>
      </c>
      <c r="J99" s="272"/>
      <c r="K99" s="106"/>
      <c r="N99" s="158"/>
      <c r="AL99" s="158"/>
      <c r="AM99" s="158"/>
      <c r="AN99" s="158"/>
      <c r="AO99" s="158"/>
      <c r="AP99" s="158"/>
      <c r="AQ99" s="158"/>
      <c r="AR99" s="158"/>
      <c r="AS99" s="158"/>
      <c r="AT99" s="158"/>
      <c r="AU99" s="158"/>
      <c r="AV99" s="158"/>
      <c r="AW99" s="158"/>
      <c r="AX99" s="158"/>
      <c r="AY99" s="158"/>
      <c r="AZ99" s="158"/>
      <c r="BA99" s="158"/>
      <c r="BB99" s="158"/>
      <c r="BC99" s="158"/>
      <c r="BD99" s="158"/>
      <c r="BE99" s="158"/>
      <c r="BF99" s="158"/>
      <c r="BG99" s="158"/>
      <c r="BH99" s="158"/>
      <c r="BI99" s="158"/>
      <c r="BJ99" s="158"/>
      <c r="BK99" s="158"/>
      <c r="BL99" s="158"/>
      <c r="BM99" s="158"/>
      <c r="BN99" s="158"/>
      <c r="BO99" s="158"/>
      <c r="BP99" s="158"/>
      <c r="BQ99" s="158"/>
      <c r="BR99" s="158"/>
      <c r="BS99" s="158"/>
      <c r="BT99" s="158"/>
      <c r="BU99" s="158"/>
      <c r="BV99" s="158"/>
      <c r="BW99" s="158"/>
      <c r="BX99" s="158"/>
      <c r="BY99" s="158"/>
      <c r="BZ99" s="158"/>
      <c r="CA99" s="158"/>
      <c r="CB99" s="158"/>
      <c r="CC99" s="158"/>
      <c r="CD99" s="158"/>
      <c r="CE99" s="158"/>
      <c r="CF99" s="158"/>
      <c r="CG99" s="158"/>
      <c r="CH99" s="158"/>
      <c r="CI99" s="158"/>
    </row>
    <row r="100" spans="1:87" s="104" customFormat="1" ht="47.25" customHeight="1">
      <c r="A100" s="263" t="s">
        <v>1202</v>
      </c>
      <c r="B100" s="263" t="s">
        <v>1203</v>
      </c>
      <c r="C100" s="263">
        <v>130110</v>
      </c>
      <c r="D100" s="263" t="s">
        <v>445</v>
      </c>
      <c r="E100" s="421" t="s">
        <v>646</v>
      </c>
      <c r="F100" s="100" t="s">
        <v>1280</v>
      </c>
      <c r="G100" s="75">
        <v>25000</v>
      </c>
      <c r="H100" s="75">
        <v>18000</v>
      </c>
      <c r="I100" s="75">
        <f t="shared" si="2"/>
        <v>43000</v>
      </c>
      <c r="J100" s="272"/>
      <c r="K100" s="106"/>
      <c r="N100" s="158"/>
      <c r="AL100" s="158"/>
      <c r="AM100" s="158"/>
      <c r="AN100" s="158"/>
      <c r="AO100" s="158"/>
      <c r="AP100" s="158"/>
      <c r="AQ100" s="158"/>
      <c r="AR100" s="158"/>
      <c r="AS100" s="158"/>
      <c r="AT100" s="158"/>
      <c r="AU100" s="158"/>
      <c r="AV100" s="158"/>
      <c r="AW100" s="158"/>
      <c r="AX100" s="158"/>
      <c r="AY100" s="158"/>
      <c r="AZ100" s="158"/>
      <c r="BA100" s="158"/>
      <c r="BB100" s="158"/>
      <c r="BC100" s="158"/>
      <c r="BD100" s="158"/>
      <c r="BE100" s="158"/>
      <c r="BF100" s="158"/>
      <c r="BG100" s="158"/>
      <c r="BH100" s="158"/>
      <c r="BI100" s="158"/>
      <c r="BJ100" s="158"/>
      <c r="BK100" s="158"/>
      <c r="BL100" s="158"/>
      <c r="BM100" s="158"/>
      <c r="BN100" s="158"/>
      <c r="BO100" s="158"/>
      <c r="BP100" s="158"/>
      <c r="BQ100" s="158"/>
      <c r="BR100" s="158"/>
      <c r="BS100" s="158"/>
      <c r="BT100" s="158"/>
      <c r="BU100" s="158"/>
      <c r="BV100" s="158"/>
      <c r="BW100" s="158"/>
      <c r="BX100" s="158"/>
      <c r="BY100" s="158"/>
      <c r="BZ100" s="158"/>
      <c r="CA100" s="158"/>
      <c r="CB100" s="158"/>
      <c r="CC100" s="158"/>
      <c r="CD100" s="158"/>
      <c r="CE100" s="158"/>
      <c r="CF100" s="158"/>
      <c r="CG100" s="158"/>
      <c r="CH100" s="158"/>
      <c r="CI100" s="158"/>
    </row>
    <row r="101" spans="1:15" s="104" customFormat="1" ht="47.25" customHeight="1" hidden="1">
      <c r="A101" s="263" t="s">
        <v>647</v>
      </c>
      <c r="B101" s="263" t="s">
        <v>1099</v>
      </c>
      <c r="C101" s="263" t="s">
        <v>528</v>
      </c>
      <c r="D101" s="263" t="s">
        <v>445</v>
      </c>
      <c r="E101" s="347" t="s">
        <v>1175</v>
      </c>
      <c r="F101" s="187" t="s">
        <v>527</v>
      </c>
      <c r="G101" s="344"/>
      <c r="H101" s="344"/>
      <c r="I101" s="344">
        <f t="shared" si="2"/>
        <v>0</v>
      </c>
      <c r="J101" s="237"/>
      <c r="K101" s="106"/>
      <c r="N101" s="114"/>
      <c r="O101" s="115"/>
    </row>
    <row r="102" spans="1:15" s="104" customFormat="1" ht="15.75" customHeight="1">
      <c r="A102" s="263" t="s">
        <v>1204</v>
      </c>
      <c r="B102" s="263" t="s">
        <v>1205</v>
      </c>
      <c r="C102" s="263"/>
      <c r="D102" s="263"/>
      <c r="E102" s="276" t="s">
        <v>1260</v>
      </c>
      <c r="F102" s="199"/>
      <c r="G102" s="344">
        <f>G103</f>
        <v>783949</v>
      </c>
      <c r="H102" s="344">
        <f>H103</f>
        <v>94100</v>
      </c>
      <c r="I102" s="344">
        <f t="shared" si="2"/>
        <v>878049</v>
      </c>
      <c r="J102" s="237">
        <f>J103</f>
        <v>94100</v>
      </c>
      <c r="K102" s="106"/>
      <c r="N102" s="114"/>
      <c r="O102" s="115"/>
    </row>
    <row r="103" spans="1:15" s="104" customFormat="1" ht="47.25" customHeight="1">
      <c r="A103" s="263" t="s">
        <v>1206</v>
      </c>
      <c r="B103" s="263" t="s">
        <v>1207</v>
      </c>
      <c r="C103" s="263" t="s">
        <v>237</v>
      </c>
      <c r="D103" s="263" t="s">
        <v>445</v>
      </c>
      <c r="E103" s="421" t="s">
        <v>1259</v>
      </c>
      <c r="F103" s="199" t="s">
        <v>527</v>
      </c>
      <c r="G103" s="344">
        <v>783949</v>
      </c>
      <c r="H103" s="344">
        <v>94100</v>
      </c>
      <c r="I103" s="344">
        <f t="shared" si="2"/>
        <v>878049</v>
      </c>
      <c r="J103" s="237">
        <v>94100</v>
      </c>
      <c r="K103" s="106"/>
      <c r="N103" s="114"/>
      <c r="O103" s="115"/>
    </row>
    <row r="104" spans="1:15" s="104" customFormat="1" ht="15.75" customHeight="1">
      <c r="A104" s="308" t="s">
        <v>648</v>
      </c>
      <c r="B104" s="308" t="s">
        <v>1065</v>
      </c>
      <c r="C104" s="308" t="s">
        <v>568</v>
      </c>
      <c r="D104" s="308"/>
      <c r="E104" s="208" t="s">
        <v>569</v>
      </c>
      <c r="F104" s="199"/>
      <c r="G104" s="346">
        <f>G105</f>
        <v>0</v>
      </c>
      <c r="H104" s="346">
        <f>H105</f>
        <v>50000</v>
      </c>
      <c r="I104" s="346">
        <f t="shared" si="2"/>
        <v>50000</v>
      </c>
      <c r="J104" s="237">
        <f>J105</f>
        <v>0</v>
      </c>
      <c r="K104" s="106"/>
      <c r="N104" s="114"/>
      <c r="O104" s="115"/>
    </row>
    <row r="105" spans="1:15" s="104" customFormat="1" ht="49.5" customHeight="1">
      <c r="A105" s="263" t="s">
        <v>649</v>
      </c>
      <c r="B105" s="263" t="s">
        <v>1066</v>
      </c>
      <c r="C105" s="263" t="s">
        <v>84</v>
      </c>
      <c r="D105" s="263" t="s">
        <v>438</v>
      </c>
      <c r="E105" s="276" t="s">
        <v>571</v>
      </c>
      <c r="F105" s="189" t="s">
        <v>527</v>
      </c>
      <c r="G105" s="344"/>
      <c r="H105" s="344">
        <f>1950524-214641-994630-691253-49832+49832</f>
        <v>50000</v>
      </c>
      <c r="I105" s="344">
        <f t="shared" si="2"/>
        <v>50000</v>
      </c>
      <c r="J105" s="237"/>
      <c r="K105" s="106"/>
      <c r="N105" s="114"/>
      <c r="O105" s="115"/>
    </row>
    <row r="106" spans="1:15" s="104" customFormat="1" ht="15.75" customHeight="1">
      <c r="A106" s="308" t="s">
        <v>650</v>
      </c>
      <c r="B106" s="308" t="s">
        <v>1070</v>
      </c>
      <c r="C106" s="308" t="s">
        <v>580</v>
      </c>
      <c r="D106" s="308"/>
      <c r="E106" s="208" t="s">
        <v>581</v>
      </c>
      <c r="F106" s="200"/>
      <c r="G106" s="346">
        <f>G107</f>
        <v>8285772</v>
      </c>
      <c r="H106" s="346">
        <f>H107</f>
        <v>340089</v>
      </c>
      <c r="I106" s="346">
        <f t="shared" si="2"/>
        <v>8625861</v>
      </c>
      <c r="J106" s="237">
        <f>J107</f>
        <v>0</v>
      </c>
      <c r="K106" s="106"/>
      <c r="N106" s="114"/>
      <c r="O106" s="115"/>
    </row>
    <row r="107" spans="1:15" s="104" customFormat="1" ht="50.25" customHeight="1">
      <c r="A107" s="263" t="s">
        <v>1303</v>
      </c>
      <c r="B107" s="263" t="s">
        <v>1100</v>
      </c>
      <c r="C107" s="263"/>
      <c r="D107" s="263"/>
      <c r="E107" s="276" t="s">
        <v>653</v>
      </c>
      <c r="F107" s="412"/>
      <c r="G107" s="344">
        <f>G108+G109</f>
        <v>8285772</v>
      </c>
      <c r="H107" s="344">
        <f>H108+H109</f>
        <v>340089</v>
      </c>
      <c r="I107" s="344">
        <f t="shared" si="2"/>
        <v>8625861</v>
      </c>
      <c r="J107" s="237">
        <f>J108+J109</f>
        <v>0</v>
      </c>
      <c r="K107" s="106"/>
      <c r="N107" s="114"/>
      <c r="O107" s="115"/>
    </row>
    <row r="108" spans="1:15" s="104" customFormat="1" ht="53.25" customHeight="1">
      <c r="A108" s="263" t="s">
        <v>652</v>
      </c>
      <c r="B108" s="263" t="s">
        <v>1101</v>
      </c>
      <c r="C108" s="101" t="s">
        <v>24</v>
      </c>
      <c r="D108" s="101" t="s">
        <v>448</v>
      </c>
      <c r="E108" s="421" t="s">
        <v>25</v>
      </c>
      <c r="F108" s="410" t="s">
        <v>504</v>
      </c>
      <c r="G108" s="344">
        <f>4000000+8915228-4779456</f>
        <v>8135772</v>
      </c>
      <c r="H108" s="344">
        <f>264228+75861</f>
        <v>340089</v>
      </c>
      <c r="I108" s="344">
        <f t="shared" si="2"/>
        <v>8475861</v>
      </c>
      <c r="J108" s="237"/>
      <c r="K108" s="106"/>
      <c r="N108" s="114"/>
      <c r="O108" s="115"/>
    </row>
    <row r="109" spans="1:15" s="104" customFormat="1" ht="61.5" customHeight="1">
      <c r="A109" s="263" t="s">
        <v>651</v>
      </c>
      <c r="B109" s="263" t="s">
        <v>1102</v>
      </c>
      <c r="C109" s="263" t="s">
        <v>302</v>
      </c>
      <c r="D109" s="263" t="s">
        <v>448</v>
      </c>
      <c r="E109" s="421" t="s">
        <v>303</v>
      </c>
      <c r="F109" s="410" t="s">
        <v>504</v>
      </c>
      <c r="G109" s="344">
        <f>130000+20000</f>
        <v>150000</v>
      </c>
      <c r="H109" s="344"/>
      <c r="I109" s="344">
        <f t="shared" si="2"/>
        <v>150000</v>
      </c>
      <c r="J109" s="237"/>
      <c r="K109" s="106"/>
      <c r="N109" s="114"/>
      <c r="O109" s="115"/>
    </row>
    <row r="110" spans="1:14" s="104" customFormat="1" ht="46.5" customHeight="1">
      <c r="A110" s="98"/>
      <c r="B110" s="98" t="s">
        <v>142</v>
      </c>
      <c r="C110" s="98" t="s">
        <v>142</v>
      </c>
      <c r="D110" s="98"/>
      <c r="E110" s="99" t="s">
        <v>518</v>
      </c>
      <c r="F110" s="166"/>
      <c r="G110" s="83">
        <f>G111</f>
        <v>123748968</v>
      </c>
      <c r="H110" s="83">
        <f>H111</f>
        <v>138322357</v>
      </c>
      <c r="I110" s="83">
        <f t="shared" si="2"/>
        <v>262071325</v>
      </c>
      <c r="J110" s="144">
        <f>J111</f>
        <v>1124806</v>
      </c>
      <c r="K110" s="113"/>
      <c r="N110" s="158"/>
    </row>
    <row r="111" spans="1:14" s="104" customFormat="1" ht="39" customHeight="1">
      <c r="A111" s="25" t="s">
        <v>654</v>
      </c>
      <c r="B111" s="25"/>
      <c r="C111" s="25"/>
      <c r="D111" s="25"/>
      <c r="E111" s="212" t="s">
        <v>655</v>
      </c>
      <c r="F111" s="197"/>
      <c r="G111" s="83">
        <f>G112+G114+G136</f>
        <v>123748968</v>
      </c>
      <c r="H111" s="83">
        <f>H112+H114+H136</f>
        <v>138322357</v>
      </c>
      <c r="I111" s="83">
        <f t="shared" si="2"/>
        <v>262071325</v>
      </c>
      <c r="J111" s="144">
        <f>J112+J114+J136</f>
        <v>1124806</v>
      </c>
      <c r="K111" s="113"/>
      <c r="N111" s="158"/>
    </row>
    <row r="112" spans="1:14" s="104" customFormat="1" ht="15.75" customHeight="1">
      <c r="A112" s="308" t="s">
        <v>656</v>
      </c>
      <c r="B112" s="308" t="s">
        <v>1060</v>
      </c>
      <c r="C112" s="309" t="s">
        <v>555</v>
      </c>
      <c r="D112" s="309"/>
      <c r="E112" s="387" t="s">
        <v>556</v>
      </c>
      <c r="F112" s="197"/>
      <c r="G112" s="83">
        <f>G113</f>
        <v>0</v>
      </c>
      <c r="H112" s="83">
        <f>H113</f>
        <v>3275458</v>
      </c>
      <c r="I112" s="83">
        <f t="shared" si="2"/>
        <v>3275458</v>
      </c>
      <c r="J112" s="144">
        <f>J113</f>
        <v>0</v>
      </c>
      <c r="K112" s="113"/>
      <c r="N112" s="158"/>
    </row>
    <row r="113" spans="1:14" s="104" customFormat="1" ht="47.25" customHeight="1">
      <c r="A113" s="263" t="s">
        <v>657</v>
      </c>
      <c r="B113" s="263" t="s">
        <v>471</v>
      </c>
      <c r="C113" s="263" t="s">
        <v>165</v>
      </c>
      <c r="D113" s="263" t="s">
        <v>436</v>
      </c>
      <c r="E113" s="347" t="s">
        <v>658</v>
      </c>
      <c r="F113" s="180" t="s">
        <v>511</v>
      </c>
      <c r="G113" s="75"/>
      <c r="H113" s="75">
        <f>2595187-167863+848134</f>
        <v>3275458</v>
      </c>
      <c r="I113" s="75">
        <f t="shared" si="2"/>
        <v>3275458</v>
      </c>
      <c r="J113" s="144"/>
      <c r="K113" s="113"/>
      <c r="N113" s="158"/>
    </row>
    <row r="114" spans="1:14" s="104" customFormat="1" ht="15.75" customHeight="1">
      <c r="A114" s="308" t="s">
        <v>659</v>
      </c>
      <c r="B114" s="308" t="s">
        <v>1103</v>
      </c>
      <c r="C114" s="308" t="s">
        <v>660</v>
      </c>
      <c r="D114" s="308"/>
      <c r="E114" s="387" t="s">
        <v>661</v>
      </c>
      <c r="F114" s="197"/>
      <c r="G114" s="368">
        <f>G115+G116+G118+G119+G121+G122+G123+G124+G125+G126+G127+G129+G130+G131+G133+G128+G117+G120</f>
        <v>123748968</v>
      </c>
      <c r="H114" s="368">
        <f>H115+H116+H118+H119+H121+H122+H123+H124+H125+H126+H127+H129+H130+H131+H133+H128+H117+H120</f>
        <v>112563053</v>
      </c>
      <c r="I114" s="368">
        <f>I115+I116+I118+I119+I121+I122+I123+I124+I125+I126+I127+I129+I130+I131+I133+I128+I117+I120</f>
        <v>236312021</v>
      </c>
      <c r="J114" s="144">
        <f>J115+J116+J118+J119+J121+J122+J123+J124+J125+J126+J127+J129+J130+J131+J133</f>
        <v>1124806</v>
      </c>
      <c r="K114" s="113"/>
      <c r="N114" s="158"/>
    </row>
    <row r="115" spans="1:14" s="104" customFormat="1" ht="52.5" customHeight="1">
      <c r="A115" s="260" t="s">
        <v>662</v>
      </c>
      <c r="B115" s="260" t="s">
        <v>1104</v>
      </c>
      <c r="C115" s="260" t="s">
        <v>72</v>
      </c>
      <c r="D115" s="260" t="s">
        <v>449</v>
      </c>
      <c r="E115" s="277" t="s">
        <v>663</v>
      </c>
      <c r="F115" s="231" t="s">
        <v>511</v>
      </c>
      <c r="G115" s="75">
        <f>44294752+7316360+1461542-41020+1739097+(403600)</f>
        <v>55174331</v>
      </c>
      <c r="H115" s="75">
        <f>15900061+473299+29716623-1051235+20000000+171256-3217052+3746047-1387961+41020+2643121+(2998500)</f>
        <v>70033679</v>
      </c>
      <c r="I115" s="75">
        <f t="shared" si="2"/>
        <v>125208010</v>
      </c>
      <c r="J115" s="236">
        <v>473299</v>
      </c>
      <c r="K115" s="113"/>
      <c r="L115" s="115"/>
      <c r="M115" s="115"/>
      <c r="N115" s="158"/>
    </row>
    <row r="116" spans="1:14" s="104" customFormat="1" ht="52.5" customHeight="1">
      <c r="A116" s="260" t="s">
        <v>662</v>
      </c>
      <c r="B116" s="260" t="s">
        <v>1104</v>
      </c>
      <c r="C116" s="260" t="s">
        <v>72</v>
      </c>
      <c r="D116" s="260" t="s">
        <v>449</v>
      </c>
      <c r="E116" s="277" t="s">
        <v>663</v>
      </c>
      <c r="F116" s="398" t="s">
        <v>1216</v>
      </c>
      <c r="G116" s="75">
        <f>1013362+570850-29784</f>
        <v>1554428</v>
      </c>
      <c r="H116" s="75"/>
      <c r="I116" s="75">
        <f t="shared" si="2"/>
        <v>1554428</v>
      </c>
      <c r="J116" s="236"/>
      <c r="K116" s="113"/>
      <c r="L116" s="115"/>
      <c r="M116" s="115"/>
      <c r="N116" s="158"/>
    </row>
    <row r="117" spans="1:14" s="104" customFormat="1" ht="52.5" customHeight="1">
      <c r="A117" s="260" t="s">
        <v>662</v>
      </c>
      <c r="B117" s="260" t="s">
        <v>1104</v>
      </c>
      <c r="C117" s="260" t="s">
        <v>72</v>
      </c>
      <c r="D117" s="260" t="s">
        <v>449</v>
      </c>
      <c r="E117" s="277" t="s">
        <v>663</v>
      </c>
      <c r="F117" s="403" t="s">
        <v>1231</v>
      </c>
      <c r="G117" s="75"/>
      <c r="H117" s="75">
        <f>2390840+12915470-7684210</f>
        <v>7622100</v>
      </c>
      <c r="I117" s="75">
        <f t="shared" si="2"/>
        <v>7622100</v>
      </c>
      <c r="J117" s="236"/>
      <c r="K117" s="113"/>
      <c r="L117" s="115"/>
      <c r="M117" s="115"/>
      <c r="N117" s="158"/>
    </row>
    <row r="118" spans="1:16" s="104" customFormat="1" ht="48" customHeight="1">
      <c r="A118" s="260" t="s">
        <v>662</v>
      </c>
      <c r="B118" s="260" t="s">
        <v>1104</v>
      </c>
      <c r="C118" s="260" t="s">
        <v>72</v>
      </c>
      <c r="D118" s="260" t="s">
        <v>449</v>
      </c>
      <c r="E118" s="277" t="s">
        <v>663</v>
      </c>
      <c r="F118" s="100" t="s">
        <v>1280</v>
      </c>
      <c r="G118" s="369">
        <f>113610+110000+20600-9800+50000+20000+49000+160000+51232+49900+7000+20000+17078+85318+97000-9500</f>
        <v>831438</v>
      </c>
      <c r="H118" s="369">
        <f>54040+20000+50000+83750+124800+118315+30000-10000+23000+47824+22922+41000+38000+9500</f>
        <v>653151</v>
      </c>
      <c r="I118" s="369">
        <f t="shared" si="2"/>
        <v>1484589</v>
      </c>
      <c r="J118" s="243"/>
      <c r="K118" s="116"/>
      <c r="L118" s="117"/>
      <c r="M118" s="117"/>
      <c r="N118" s="118"/>
      <c r="O118" s="117"/>
      <c r="P118" s="117"/>
    </row>
    <row r="119" spans="1:14" s="104" customFormat="1" ht="50.25" customHeight="1">
      <c r="A119" s="260" t="s">
        <v>664</v>
      </c>
      <c r="B119" s="260" t="s">
        <v>1105</v>
      </c>
      <c r="C119" s="260" t="s">
        <v>111</v>
      </c>
      <c r="D119" s="260" t="s">
        <v>450</v>
      </c>
      <c r="E119" s="277" t="s">
        <v>665</v>
      </c>
      <c r="F119" s="231" t="s">
        <v>511</v>
      </c>
      <c r="G119" s="75">
        <f>3893292+289126</f>
        <v>4182418</v>
      </c>
      <c r="H119" s="75">
        <f>453210+16895942+250383+235913+2210399+(165200)</f>
        <v>20211047</v>
      </c>
      <c r="I119" s="75">
        <f aca="true" t="shared" si="3" ref="I119:I169">G119+H119</f>
        <v>24393465</v>
      </c>
      <c r="J119" s="236"/>
      <c r="K119" s="113"/>
      <c r="M119" s="115"/>
      <c r="N119" s="158"/>
    </row>
    <row r="120" spans="1:14" s="104" customFormat="1" ht="50.25" customHeight="1" hidden="1">
      <c r="A120" s="260" t="s">
        <v>664</v>
      </c>
      <c r="B120" s="260" t="s">
        <v>1105</v>
      </c>
      <c r="C120" s="260" t="s">
        <v>111</v>
      </c>
      <c r="D120" s="260" t="s">
        <v>450</v>
      </c>
      <c r="E120" s="277" t="s">
        <v>665</v>
      </c>
      <c r="F120" s="403" t="s">
        <v>1231</v>
      </c>
      <c r="G120" s="75"/>
      <c r="H120" s="75">
        <f>2315790-2315790</f>
        <v>0</v>
      </c>
      <c r="I120" s="75">
        <f t="shared" si="3"/>
        <v>0</v>
      </c>
      <c r="J120" s="236"/>
      <c r="K120" s="113"/>
      <c r="M120" s="115"/>
      <c r="N120" s="158"/>
    </row>
    <row r="121" spans="1:14" s="104" customFormat="1" ht="50.25" customHeight="1">
      <c r="A121" s="260" t="s">
        <v>664</v>
      </c>
      <c r="B121" s="260" t="s">
        <v>1105</v>
      </c>
      <c r="C121" s="260" t="s">
        <v>111</v>
      </c>
      <c r="D121" s="260" t="s">
        <v>450</v>
      </c>
      <c r="E121" s="277" t="s">
        <v>665</v>
      </c>
      <c r="F121" s="100" t="s">
        <v>1280</v>
      </c>
      <c r="G121" s="365">
        <f>100000+10000+30000+7100+8000</f>
        <v>155100</v>
      </c>
      <c r="H121" s="365">
        <f>25000+20000-7100</f>
        <v>37900</v>
      </c>
      <c r="I121" s="365">
        <f t="shared" si="3"/>
        <v>193000</v>
      </c>
      <c r="J121" s="238"/>
      <c r="K121" s="113"/>
      <c r="M121" s="115"/>
      <c r="N121" s="158"/>
    </row>
    <row r="122" spans="1:14" s="104" customFormat="1" ht="52.5" customHeight="1">
      <c r="A122" s="260" t="s">
        <v>666</v>
      </c>
      <c r="B122" s="260" t="s">
        <v>1106</v>
      </c>
      <c r="C122" s="260" t="s">
        <v>73</v>
      </c>
      <c r="D122" s="439" t="s">
        <v>451</v>
      </c>
      <c r="E122" s="443" t="s">
        <v>667</v>
      </c>
      <c r="F122" s="231" t="s">
        <v>511</v>
      </c>
      <c r="G122" s="75">
        <f>634063+19735-225629</f>
        <v>428169</v>
      </c>
      <c r="H122" s="75"/>
      <c r="I122" s="75">
        <f t="shared" si="3"/>
        <v>428169</v>
      </c>
      <c r="J122" s="236"/>
      <c r="K122" s="113"/>
      <c r="N122" s="158"/>
    </row>
    <row r="123" spans="1:14" s="104" customFormat="1" ht="54" customHeight="1" hidden="1">
      <c r="A123" s="260" t="s">
        <v>666</v>
      </c>
      <c r="B123" s="260" t="s">
        <v>1106</v>
      </c>
      <c r="C123" s="260" t="s">
        <v>73</v>
      </c>
      <c r="D123" s="440"/>
      <c r="E123" s="444"/>
      <c r="F123" s="100" t="s">
        <v>1280</v>
      </c>
      <c r="G123" s="82"/>
      <c r="H123" s="82"/>
      <c r="I123" s="82">
        <f t="shared" si="3"/>
        <v>0</v>
      </c>
      <c r="J123" s="244"/>
      <c r="K123" s="106"/>
      <c r="N123" s="158"/>
    </row>
    <row r="124" spans="1:14" s="104" customFormat="1" ht="50.25" customHeight="1">
      <c r="A124" s="260" t="s">
        <v>668</v>
      </c>
      <c r="B124" s="260" t="s">
        <v>1107</v>
      </c>
      <c r="C124" s="260" t="s">
        <v>74</v>
      </c>
      <c r="D124" s="260" t="s">
        <v>452</v>
      </c>
      <c r="E124" s="279" t="s">
        <v>669</v>
      </c>
      <c r="F124" s="231" t="s">
        <v>511</v>
      </c>
      <c r="G124" s="75">
        <f>3431928-1600</f>
        <v>3430328</v>
      </c>
      <c r="H124" s="75">
        <f>651507+3221400+295213</f>
        <v>4168120</v>
      </c>
      <c r="I124" s="75">
        <f t="shared" si="3"/>
        <v>7598448</v>
      </c>
      <c r="J124" s="236">
        <v>651507</v>
      </c>
      <c r="K124" s="113"/>
      <c r="M124" s="115"/>
      <c r="N124" s="158"/>
    </row>
    <row r="125" spans="1:14" s="104" customFormat="1" ht="47.25" customHeight="1">
      <c r="A125" s="260" t="s">
        <v>668</v>
      </c>
      <c r="B125" s="260" t="s">
        <v>1107</v>
      </c>
      <c r="C125" s="260" t="s">
        <v>74</v>
      </c>
      <c r="D125" s="260" t="s">
        <v>452</v>
      </c>
      <c r="E125" s="279" t="s">
        <v>669</v>
      </c>
      <c r="F125" s="100" t="s">
        <v>1280</v>
      </c>
      <c r="G125" s="365">
        <f>20685</f>
        <v>20685</v>
      </c>
      <c r="H125" s="75"/>
      <c r="I125" s="75">
        <f t="shared" si="3"/>
        <v>20685</v>
      </c>
      <c r="J125" s="236"/>
      <c r="K125" s="106"/>
      <c r="N125" s="158"/>
    </row>
    <row r="126" spans="1:14" s="104" customFormat="1" ht="47.25">
      <c r="A126" s="263" t="s">
        <v>670</v>
      </c>
      <c r="B126" s="263" t="s">
        <v>1108</v>
      </c>
      <c r="C126" s="263" t="s">
        <v>671</v>
      </c>
      <c r="D126" s="263" t="s">
        <v>672</v>
      </c>
      <c r="E126" s="276" t="s">
        <v>673</v>
      </c>
      <c r="F126" s="412" t="s">
        <v>511</v>
      </c>
      <c r="G126" s="75"/>
      <c r="H126" s="75">
        <v>26000</v>
      </c>
      <c r="I126" s="75">
        <f t="shared" si="3"/>
        <v>26000</v>
      </c>
      <c r="J126" s="236"/>
      <c r="K126" s="106"/>
      <c r="N126" s="158"/>
    </row>
    <row r="127" spans="1:14" s="169" customFormat="1" ht="50.25" customHeight="1">
      <c r="A127" s="260" t="s">
        <v>674</v>
      </c>
      <c r="B127" s="260" t="s">
        <v>1109</v>
      </c>
      <c r="C127" s="260" t="s">
        <v>285</v>
      </c>
      <c r="D127" s="260" t="s">
        <v>453</v>
      </c>
      <c r="E127" s="277" t="s">
        <v>675</v>
      </c>
      <c r="F127" s="398" t="s">
        <v>1216</v>
      </c>
      <c r="G127" s="75">
        <f>43816471+607209+10211207+827985+(4000)</f>
        <v>55466872</v>
      </c>
      <c r="H127" s="75">
        <f>7599625+1219098-421639-1267431+1066475-307015-588657+(40000)</f>
        <v>7340456</v>
      </c>
      <c r="I127" s="75">
        <f t="shared" si="3"/>
        <v>62807328</v>
      </c>
      <c r="J127" s="236"/>
      <c r="K127" s="168"/>
      <c r="L127" s="174"/>
      <c r="M127" s="174"/>
      <c r="N127" s="170"/>
    </row>
    <row r="128" spans="1:14" s="169" customFormat="1" ht="50.25" customHeight="1">
      <c r="A128" s="263" t="s">
        <v>674</v>
      </c>
      <c r="B128" s="263" t="s">
        <v>1109</v>
      </c>
      <c r="C128" s="263" t="s">
        <v>285</v>
      </c>
      <c r="D128" s="263" t="s">
        <v>453</v>
      </c>
      <c r="E128" s="276" t="s">
        <v>675</v>
      </c>
      <c r="F128" s="412" t="s">
        <v>1231</v>
      </c>
      <c r="G128" s="75"/>
      <c r="H128" s="75">
        <f>1109160+1268740</f>
        <v>2377900</v>
      </c>
      <c r="I128" s="75">
        <f t="shared" si="3"/>
        <v>2377900</v>
      </c>
      <c r="J128" s="236"/>
      <c r="K128" s="168"/>
      <c r="L128" s="174"/>
      <c r="M128" s="174"/>
      <c r="N128" s="170"/>
    </row>
    <row r="129" spans="1:14" s="104" customFormat="1" ht="57" customHeight="1">
      <c r="A129" s="260" t="s">
        <v>674</v>
      </c>
      <c r="B129" s="260" t="s">
        <v>1109</v>
      </c>
      <c r="C129" s="260" t="s">
        <v>285</v>
      </c>
      <c r="D129" s="260" t="s">
        <v>453</v>
      </c>
      <c r="E129" s="277" t="s">
        <v>675</v>
      </c>
      <c r="F129" s="100" t="s">
        <v>1280</v>
      </c>
      <c r="G129" s="365">
        <f>14700+4000+22200+15000+10000+5000+31050</f>
        <v>101950</v>
      </c>
      <c r="H129" s="365">
        <f>16300+46400+10000+20000</f>
        <v>92700</v>
      </c>
      <c r="I129" s="365">
        <f t="shared" si="3"/>
        <v>194650</v>
      </c>
      <c r="J129" s="238"/>
      <c r="K129" s="113"/>
      <c r="N129" s="158"/>
    </row>
    <row r="130" spans="1:14" s="104" customFormat="1" ht="63.75" customHeight="1" hidden="1">
      <c r="A130" s="263" t="s">
        <v>676</v>
      </c>
      <c r="B130" s="263" t="s">
        <v>1110</v>
      </c>
      <c r="C130" s="263" t="s">
        <v>398</v>
      </c>
      <c r="D130" s="263" t="s">
        <v>454</v>
      </c>
      <c r="E130" s="276" t="s">
        <v>677</v>
      </c>
      <c r="F130" s="231" t="s">
        <v>511</v>
      </c>
      <c r="G130" s="75"/>
      <c r="H130" s="75"/>
      <c r="I130" s="75">
        <f t="shared" si="3"/>
        <v>0</v>
      </c>
      <c r="J130" s="236"/>
      <c r="K130" s="113"/>
      <c r="N130" s="158"/>
    </row>
    <row r="131" spans="1:14" s="104" customFormat="1" ht="35.25" customHeight="1">
      <c r="A131" s="263" t="s">
        <v>678</v>
      </c>
      <c r="B131" s="263" t="s">
        <v>1111</v>
      </c>
      <c r="C131" s="263"/>
      <c r="D131" s="263"/>
      <c r="E131" s="276" t="s">
        <v>679</v>
      </c>
      <c r="F131" s="197"/>
      <c r="G131" s="75">
        <f>G132</f>
        <v>1536749</v>
      </c>
      <c r="H131" s="75">
        <f>H132</f>
        <v>0</v>
      </c>
      <c r="I131" s="75">
        <f t="shared" si="3"/>
        <v>1536749</v>
      </c>
      <c r="J131" s="236">
        <f>J132</f>
        <v>0</v>
      </c>
      <c r="K131" s="113"/>
      <c r="N131" s="158"/>
    </row>
    <row r="132" spans="1:14" s="104" customFormat="1" ht="46.5" customHeight="1">
      <c r="A132" s="263" t="s">
        <v>680</v>
      </c>
      <c r="B132" s="263" t="s">
        <v>1112</v>
      </c>
      <c r="C132" s="263" t="s">
        <v>76</v>
      </c>
      <c r="D132" s="263" t="s">
        <v>454</v>
      </c>
      <c r="E132" s="421" t="s">
        <v>230</v>
      </c>
      <c r="F132" s="231" t="s">
        <v>511</v>
      </c>
      <c r="G132" s="75">
        <f>8853109-7316360</f>
        <v>1536749</v>
      </c>
      <c r="H132" s="75"/>
      <c r="I132" s="75">
        <f t="shared" si="3"/>
        <v>1536749</v>
      </c>
      <c r="J132" s="236"/>
      <c r="K132" s="106"/>
      <c r="N132" s="158"/>
    </row>
    <row r="133" spans="1:14" s="104" customFormat="1" ht="47.25">
      <c r="A133" s="263" t="s">
        <v>681</v>
      </c>
      <c r="B133" s="263" t="s">
        <v>1113</v>
      </c>
      <c r="C133" s="263" t="s">
        <v>112</v>
      </c>
      <c r="D133" s="263" t="s">
        <v>454</v>
      </c>
      <c r="E133" s="276" t="s">
        <v>682</v>
      </c>
      <c r="F133" s="412" t="s">
        <v>511</v>
      </c>
      <c r="G133" s="75">
        <v>866500</v>
      </c>
      <c r="H133" s="75"/>
      <c r="I133" s="75">
        <f t="shared" si="3"/>
        <v>866500</v>
      </c>
      <c r="J133" s="236">
        <f>J134+J135</f>
        <v>0</v>
      </c>
      <c r="K133" s="106"/>
      <c r="N133" s="158"/>
    </row>
    <row r="134" spans="1:14" s="104" customFormat="1" ht="78.75" hidden="1">
      <c r="A134" s="263" t="s">
        <v>683</v>
      </c>
      <c r="B134" s="263" t="s">
        <v>1114</v>
      </c>
      <c r="C134" s="263" t="s">
        <v>112</v>
      </c>
      <c r="D134" s="263" t="s">
        <v>454</v>
      </c>
      <c r="E134" s="347" t="s">
        <v>684</v>
      </c>
      <c r="F134" s="197"/>
      <c r="G134" s="75"/>
      <c r="H134" s="75"/>
      <c r="I134" s="75">
        <f t="shared" si="3"/>
        <v>0</v>
      </c>
      <c r="J134" s="236"/>
      <c r="K134" s="106"/>
      <c r="N134" s="158"/>
    </row>
    <row r="135" spans="1:14" s="104" customFormat="1" ht="46.5" customHeight="1" hidden="1">
      <c r="A135" s="263" t="s">
        <v>685</v>
      </c>
      <c r="B135" s="263" t="s">
        <v>1115</v>
      </c>
      <c r="C135" s="263" t="s">
        <v>112</v>
      </c>
      <c r="D135" s="263" t="s">
        <v>454</v>
      </c>
      <c r="E135" s="347" t="s">
        <v>686</v>
      </c>
      <c r="F135" s="197"/>
      <c r="G135" s="75"/>
      <c r="H135" s="75"/>
      <c r="I135" s="75">
        <f t="shared" si="3"/>
        <v>0</v>
      </c>
      <c r="J135" s="236"/>
      <c r="K135" s="106"/>
      <c r="N135" s="158"/>
    </row>
    <row r="136" spans="1:14" s="104" customFormat="1" ht="46.5" customHeight="1">
      <c r="A136" s="308" t="s">
        <v>687</v>
      </c>
      <c r="B136" s="308" t="s">
        <v>1065</v>
      </c>
      <c r="C136" s="308" t="s">
        <v>568</v>
      </c>
      <c r="D136" s="308"/>
      <c r="E136" s="208" t="s">
        <v>688</v>
      </c>
      <c r="F136" s="197"/>
      <c r="G136" s="75">
        <f>G137+G138</f>
        <v>0</v>
      </c>
      <c r="H136" s="75">
        <f>H137+H138</f>
        <v>22483846</v>
      </c>
      <c r="I136" s="75">
        <f t="shared" si="3"/>
        <v>22483846</v>
      </c>
      <c r="J136" s="236">
        <f>J137+J138</f>
        <v>0</v>
      </c>
      <c r="K136" s="106"/>
      <c r="N136" s="158"/>
    </row>
    <row r="137" spans="1:14" s="104" customFormat="1" ht="50.25" customHeight="1">
      <c r="A137" s="420" t="s">
        <v>689</v>
      </c>
      <c r="B137" s="420" t="s">
        <v>1066</v>
      </c>
      <c r="C137" s="439" t="s">
        <v>84</v>
      </c>
      <c r="D137" s="260" t="s">
        <v>438</v>
      </c>
      <c r="E137" s="277" t="s">
        <v>571</v>
      </c>
      <c r="F137" s="231" t="s">
        <v>511</v>
      </c>
      <c r="G137" s="75"/>
      <c r="H137" s="75">
        <f>7138160-1308056+1165000-348344+730936</f>
        <v>7377696</v>
      </c>
      <c r="I137" s="75">
        <f t="shared" si="3"/>
        <v>7377696</v>
      </c>
      <c r="J137" s="240"/>
      <c r="K137" s="113"/>
      <c r="N137" s="158"/>
    </row>
    <row r="138" spans="1:14" s="104" customFormat="1" ht="47.25" customHeight="1">
      <c r="A138" s="420" t="s">
        <v>689</v>
      </c>
      <c r="B138" s="420" t="s">
        <v>1066</v>
      </c>
      <c r="C138" s="440"/>
      <c r="D138" s="260" t="s">
        <v>438</v>
      </c>
      <c r="E138" s="277" t="s">
        <v>571</v>
      </c>
      <c r="F138" s="398" t="s">
        <v>1216</v>
      </c>
      <c r="G138" s="75"/>
      <c r="H138" s="75">
        <f>23118915+1308056-4812522-4508299</f>
        <v>15106150</v>
      </c>
      <c r="I138" s="75">
        <f t="shared" si="3"/>
        <v>15106150</v>
      </c>
      <c r="J138" s="240"/>
      <c r="K138" s="113"/>
      <c r="N138" s="158"/>
    </row>
    <row r="139" spans="1:14" s="104" customFormat="1" ht="49.5" customHeight="1">
      <c r="A139" s="98"/>
      <c r="B139" s="98" t="s">
        <v>143</v>
      </c>
      <c r="C139" s="98" t="s">
        <v>143</v>
      </c>
      <c r="D139" s="98"/>
      <c r="E139" s="99" t="s">
        <v>51</v>
      </c>
      <c r="F139" s="166"/>
      <c r="G139" s="83">
        <f>G140</f>
        <v>184438105</v>
      </c>
      <c r="H139" s="83">
        <f>H140</f>
        <v>7454104</v>
      </c>
      <c r="I139" s="83">
        <f t="shared" si="3"/>
        <v>191892209</v>
      </c>
      <c r="J139" s="143">
        <f>J140</f>
        <v>0</v>
      </c>
      <c r="K139" s="113"/>
      <c r="N139" s="158"/>
    </row>
    <row r="140" spans="1:14" s="104" customFormat="1" ht="31.5">
      <c r="A140" s="25" t="s">
        <v>690</v>
      </c>
      <c r="B140" s="25"/>
      <c r="C140" s="25"/>
      <c r="D140" s="25"/>
      <c r="E140" s="212" t="s">
        <v>51</v>
      </c>
      <c r="F140" s="199"/>
      <c r="G140" s="83">
        <f>G141+G143+G168</f>
        <v>184438105</v>
      </c>
      <c r="H140" s="83">
        <f>H141+H143+H168</f>
        <v>7454104</v>
      </c>
      <c r="I140" s="83">
        <f t="shared" si="3"/>
        <v>191892209</v>
      </c>
      <c r="J140" s="143">
        <f>J141+J143+J168</f>
        <v>0</v>
      </c>
      <c r="K140" s="113"/>
      <c r="N140" s="158"/>
    </row>
    <row r="141" spans="1:14" s="104" customFormat="1" ht="15.75" customHeight="1">
      <c r="A141" s="308" t="s">
        <v>691</v>
      </c>
      <c r="B141" s="308" t="s">
        <v>1060</v>
      </c>
      <c r="C141" s="309" t="s">
        <v>555</v>
      </c>
      <c r="D141" s="309"/>
      <c r="E141" s="387" t="s">
        <v>556</v>
      </c>
      <c r="F141" s="199"/>
      <c r="G141" s="83">
        <f>G142</f>
        <v>0</v>
      </c>
      <c r="H141" s="83">
        <f>H142</f>
        <v>3018096</v>
      </c>
      <c r="I141" s="83">
        <f>I142</f>
        <v>3018096</v>
      </c>
      <c r="J141" s="143">
        <f>J142</f>
        <v>0</v>
      </c>
      <c r="K141" s="113"/>
      <c r="N141" s="158"/>
    </row>
    <row r="142" spans="1:14" s="104" customFormat="1" ht="47.25" customHeight="1">
      <c r="A142" s="263" t="s">
        <v>692</v>
      </c>
      <c r="B142" s="263" t="s">
        <v>471</v>
      </c>
      <c r="C142" s="263" t="s">
        <v>165</v>
      </c>
      <c r="D142" s="263" t="s">
        <v>436</v>
      </c>
      <c r="E142" s="347" t="s">
        <v>693</v>
      </c>
      <c r="F142" s="179" t="s">
        <v>510</v>
      </c>
      <c r="G142" s="194"/>
      <c r="H142" s="194">
        <f>1174764+1225873+230880+386579</f>
        <v>3018096</v>
      </c>
      <c r="I142" s="194">
        <f t="shared" si="3"/>
        <v>3018096</v>
      </c>
      <c r="J142" s="246"/>
      <c r="K142" s="113"/>
      <c r="N142" s="158"/>
    </row>
    <row r="143" spans="1:14" s="104" customFormat="1" ht="47.25" customHeight="1">
      <c r="A143" s="309" t="s">
        <v>694</v>
      </c>
      <c r="B143" s="309" t="s">
        <v>1087</v>
      </c>
      <c r="C143" s="309" t="s">
        <v>612</v>
      </c>
      <c r="D143" s="309"/>
      <c r="E143" s="208" t="s">
        <v>613</v>
      </c>
      <c r="F143" s="199"/>
      <c r="G143" s="379">
        <f>G144+G152+G155+G160+G163+G164+G158</f>
        <v>184438105</v>
      </c>
      <c r="H143" s="379">
        <f>H144+H152+H155+H160+H163+H164+H158</f>
        <v>1798960</v>
      </c>
      <c r="I143" s="379">
        <f>G143+H143</f>
        <v>186237065</v>
      </c>
      <c r="J143" s="246">
        <f>J144+J152+J155+J160+J163+J164</f>
        <v>0</v>
      </c>
      <c r="K143" s="113"/>
      <c r="N143" s="158"/>
    </row>
    <row r="144" spans="1:14" s="104" customFormat="1" ht="184.5" customHeight="1">
      <c r="A144" s="25" t="s">
        <v>695</v>
      </c>
      <c r="B144" s="25" t="s">
        <v>1116</v>
      </c>
      <c r="C144" s="25"/>
      <c r="D144" s="25"/>
      <c r="E144" s="424" t="s">
        <v>696</v>
      </c>
      <c r="F144" s="199"/>
      <c r="G144" s="380">
        <f>G145+G146+G147+G148+G149+G150+G151</f>
        <v>71462336</v>
      </c>
      <c r="H144" s="380">
        <f>H145+H146+H147+H148+H149+H150+H151</f>
        <v>80000</v>
      </c>
      <c r="I144" s="380">
        <f t="shared" si="3"/>
        <v>71542336</v>
      </c>
      <c r="J144" s="246">
        <f>J145+J146+J147+J148+J149+J150+J151</f>
        <v>0</v>
      </c>
      <c r="K144" s="113"/>
      <c r="N144" s="158"/>
    </row>
    <row r="145" spans="1:14" s="104" customFormat="1" ht="220.5">
      <c r="A145" s="25" t="s">
        <v>697</v>
      </c>
      <c r="B145" s="25" t="s">
        <v>1117</v>
      </c>
      <c r="C145" s="25" t="s">
        <v>480</v>
      </c>
      <c r="D145" s="25" t="s">
        <v>456</v>
      </c>
      <c r="E145" s="348" t="s">
        <v>698</v>
      </c>
      <c r="F145" s="404" t="s">
        <v>510</v>
      </c>
      <c r="G145" s="75">
        <v>2511906</v>
      </c>
      <c r="H145" s="75">
        <v>80000</v>
      </c>
      <c r="I145" s="75">
        <f t="shared" si="3"/>
        <v>2591906</v>
      </c>
      <c r="J145" s="240"/>
      <c r="K145" s="106"/>
      <c r="N145" s="158"/>
    </row>
    <row r="146" spans="1:14" s="104" customFormat="1" ht="83.25" customHeight="1">
      <c r="A146" s="25" t="s">
        <v>699</v>
      </c>
      <c r="B146" s="25" t="s">
        <v>1118</v>
      </c>
      <c r="C146" s="25" t="s">
        <v>481</v>
      </c>
      <c r="D146" s="25" t="s">
        <v>458</v>
      </c>
      <c r="E146" s="348" t="s">
        <v>700</v>
      </c>
      <c r="F146" s="261" t="s">
        <v>510</v>
      </c>
      <c r="G146" s="75">
        <v>81291</v>
      </c>
      <c r="H146" s="75"/>
      <c r="I146" s="75">
        <f t="shared" si="3"/>
        <v>81291</v>
      </c>
      <c r="J146" s="240"/>
      <c r="K146" s="106"/>
      <c r="N146" s="158"/>
    </row>
    <row r="147" spans="1:14" s="104" customFormat="1" ht="47.25" customHeight="1">
      <c r="A147" s="25" t="s">
        <v>701</v>
      </c>
      <c r="B147" s="25" t="s">
        <v>1119</v>
      </c>
      <c r="C147" s="25" t="s">
        <v>482</v>
      </c>
      <c r="D147" s="25" t="s">
        <v>458</v>
      </c>
      <c r="E147" s="348" t="s">
        <v>702</v>
      </c>
      <c r="F147" s="261" t="s">
        <v>510</v>
      </c>
      <c r="G147" s="75">
        <v>3924640</v>
      </c>
      <c r="H147" s="75"/>
      <c r="I147" s="75">
        <f t="shared" si="3"/>
        <v>3924640</v>
      </c>
      <c r="J147" s="240"/>
      <c r="K147" s="106"/>
      <c r="N147" s="158"/>
    </row>
    <row r="148" spans="1:14" s="104" customFormat="1" ht="52.5" customHeight="1">
      <c r="A148" s="263" t="s">
        <v>703</v>
      </c>
      <c r="B148" s="263" t="s">
        <v>1120</v>
      </c>
      <c r="C148" s="263" t="s">
        <v>33</v>
      </c>
      <c r="D148" s="263" t="s">
        <v>458</v>
      </c>
      <c r="E148" s="347" t="s">
        <v>704</v>
      </c>
      <c r="F148" s="261" t="s">
        <v>510</v>
      </c>
      <c r="G148" s="75">
        <f>11200000+2000000</f>
        <v>13200000</v>
      </c>
      <c r="H148" s="75"/>
      <c r="I148" s="75">
        <f t="shared" si="3"/>
        <v>13200000</v>
      </c>
      <c r="J148" s="240"/>
      <c r="K148" s="106"/>
      <c r="N148" s="158"/>
    </row>
    <row r="149" spans="1:14" s="104" customFormat="1" ht="52.5" customHeight="1">
      <c r="A149" s="263" t="s">
        <v>705</v>
      </c>
      <c r="B149" s="263" t="s">
        <v>1121</v>
      </c>
      <c r="C149" s="263" t="s">
        <v>87</v>
      </c>
      <c r="D149" s="263" t="s">
        <v>458</v>
      </c>
      <c r="E149" s="347" t="s">
        <v>706</v>
      </c>
      <c r="F149" s="261" t="s">
        <v>510</v>
      </c>
      <c r="G149" s="75">
        <f>1744499+256201</f>
        <v>2000700</v>
      </c>
      <c r="H149" s="75"/>
      <c r="I149" s="75">
        <f t="shared" si="3"/>
        <v>2000700</v>
      </c>
      <c r="J149" s="240"/>
      <c r="K149" s="106"/>
      <c r="N149" s="158"/>
    </row>
    <row r="150" spans="1:14" s="104" customFormat="1" ht="52.5" customHeight="1">
      <c r="A150" s="263" t="s">
        <v>707</v>
      </c>
      <c r="B150" s="263" t="s">
        <v>1122</v>
      </c>
      <c r="C150" s="263" t="s">
        <v>483</v>
      </c>
      <c r="D150" s="263" t="s">
        <v>458</v>
      </c>
      <c r="E150" s="347" t="s">
        <v>484</v>
      </c>
      <c r="F150" s="261" t="s">
        <v>510</v>
      </c>
      <c r="G150" s="75">
        <v>5000000</v>
      </c>
      <c r="H150" s="75"/>
      <c r="I150" s="75">
        <f t="shared" si="3"/>
        <v>5000000</v>
      </c>
      <c r="J150" s="240"/>
      <c r="K150" s="106"/>
      <c r="N150" s="158"/>
    </row>
    <row r="151" spans="1:14" s="104" customFormat="1" ht="52.5" customHeight="1">
      <c r="A151" s="263" t="s">
        <v>708</v>
      </c>
      <c r="B151" s="263" t="s">
        <v>1123</v>
      </c>
      <c r="C151" s="263" t="s">
        <v>117</v>
      </c>
      <c r="D151" s="263" t="s">
        <v>458</v>
      </c>
      <c r="E151" s="347" t="s">
        <v>15</v>
      </c>
      <c r="F151" s="199" t="s">
        <v>510</v>
      </c>
      <c r="G151" s="75">
        <f>45000000-256201</f>
        <v>44743799</v>
      </c>
      <c r="H151" s="75"/>
      <c r="I151" s="75">
        <f t="shared" si="3"/>
        <v>44743799</v>
      </c>
      <c r="J151" s="240"/>
      <c r="K151" s="106"/>
      <c r="N151" s="158"/>
    </row>
    <row r="152" spans="1:14" s="104" customFormat="1" ht="58.5" customHeight="1">
      <c r="A152" s="263" t="s">
        <v>709</v>
      </c>
      <c r="B152" s="263" t="s">
        <v>1124</v>
      </c>
      <c r="C152" s="263"/>
      <c r="D152" s="263"/>
      <c r="E152" s="276" t="s">
        <v>710</v>
      </c>
      <c r="F152" s="199"/>
      <c r="G152" s="75">
        <f>G153+G154</f>
        <v>33368272</v>
      </c>
      <c r="H152" s="75">
        <f>H153+H154</f>
        <v>1527960</v>
      </c>
      <c r="I152" s="75">
        <f t="shared" si="3"/>
        <v>34896232</v>
      </c>
      <c r="J152" s="240">
        <f>J153+J154</f>
        <v>0</v>
      </c>
      <c r="K152" s="106"/>
      <c r="N152" s="158"/>
    </row>
    <row r="153" spans="1:14" s="104" customFormat="1" ht="80.25" customHeight="1">
      <c r="A153" s="260" t="s">
        <v>711</v>
      </c>
      <c r="B153" s="260" t="s">
        <v>1125</v>
      </c>
      <c r="C153" s="260" t="s">
        <v>163</v>
      </c>
      <c r="D153" s="420" t="s">
        <v>455</v>
      </c>
      <c r="E153" s="277" t="s">
        <v>712</v>
      </c>
      <c r="F153" s="199" t="s">
        <v>510</v>
      </c>
      <c r="G153" s="75">
        <f>32926450+333322+(60000)</f>
        <v>33319772</v>
      </c>
      <c r="H153" s="75">
        <f>(94500)+389700+507157+509103</f>
        <v>1500460</v>
      </c>
      <c r="I153" s="75">
        <f t="shared" si="3"/>
        <v>34820232</v>
      </c>
      <c r="J153" s="240"/>
      <c r="K153" s="106"/>
      <c r="N153" s="158"/>
    </row>
    <row r="154" spans="1:14" s="104" customFormat="1" ht="63">
      <c r="A154" s="260" t="s">
        <v>711</v>
      </c>
      <c r="B154" s="260" t="s">
        <v>1125</v>
      </c>
      <c r="C154" s="260" t="s">
        <v>163</v>
      </c>
      <c r="D154" s="420" t="s">
        <v>455</v>
      </c>
      <c r="E154" s="277" t="s">
        <v>712</v>
      </c>
      <c r="F154" s="100" t="s">
        <v>1280</v>
      </c>
      <c r="G154" s="75">
        <f>10000+500+18000+20000</f>
        <v>48500</v>
      </c>
      <c r="H154" s="75">
        <f>10000+10000+7500</f>
        <v>27500</v>
      </c>
      <c r="I154" s="75">
        <f t="shared" si="3"/>
        <v>76000</v>
      </c>
      <c r="J154" s="240"/>
      <c r="K154" s="106"/>
      <c r="N154" s="158"/>
    </row>
    <row r="155" spans="1:14" s="104" customFormat="1" ht="31.5">
      <c r="A155" s="263" t="s">
        <v>714</v>
      </c>
      <c r="B155" s="263" t="s">
        <v>1126</v>
      </c>
      <c r="C155" s="263"/>
      <c r="D155" s="263"/>
      <c r="E155" s="276" t="s">
        <v>715</v>
      </c>
      <c r="F155" s="100"/>
      <c r="G155" s="75">
        <f>G156+G157</f>
        <v>360133</v>
      </c>
      <c r="H155" s="75">
        <f>H156+H157</f>
        <v>0</v>
      </c>
      <c r="I155" s="75">
        <f t="shared" si="3"/>
        <v>360133</v>
      </c>
      <c r="J155" s="240">
        <f>J156+J157</f>
        <v>0</v>
      </c>
      <c r="K155" s="106"/>
      <c r="N155" s="158"/>
    </row>
    <row r="156" spans="1:14" s="104" customFormat="1" ht="47.25" customHeight="1" hidden="1">
      <c r="A156" s="263" t="s">
        <v>716</v>
      </c>
      <c r="B156" s="263" t="s">
        <v>1127</v>
      </c>
      <c r="C156" s="25" t="s">
        <v>79</v>
      </c>
      <c r="D156" s="25" t="s">
        <v>444</v>
      </c>
      <c r="E156" s="347" t="s">
        <v>717</v>
      </c>
      <c r="F156" s="199" t="s">
        <v>510</v>
      </c>
      <c r="G156" s="75"/>
      <c r="H156" s="75"/>
      <c r="I156" s="75">
        <f t="shared" si="3"/>
        <v>0</v>
      </c>
      <c r="J156" s="240"/>
      <c r="K156" s="106"/>
      <c r="N156" s="158"/>
    </row>
    <row r="157" spans="1:14" s="104" customFormat="1" ht="46.5" customHeight="1">
      <c r="A157" s="263" t="s">
        <v>718</v>
      </c>
      <c r="B157" s="263" t="s">
        <v>1128</v>
      </c>
      <c r="C157" s="25" t="s">
        <v>80</v>
      </c>
      <c r="D157" s="25" t="s">
        <v>444</v>
      </c>
      <c r="E157" s="347" t="s">
        <v>235</v>
      </c>
      <c r="F157" s="199" t="s">
        <v>510</v>
      </c>
      <c r="G157" s="75">
        <v>360133</v>
      </c>
      <c r="H157" s="75"/>
      <c r="I157" s="75">
        <f t="shared" si="3"/>
        <v>360133</v>
      </c>
      <c r="J157" s="240"/>
      <c r="K157" s="106"/>
      <c r="N157" s="158"/>
    </row>
    <row r="158" spans="1:14" s="104" customFormat="1" ht="78.75">
      <c r="A158" s="263" t="s">
        <v>1296</v>
      </c>
      <c r="B158" s="263" t="s">
        <v>1297</v>
      </c>
      <c r="C158" s="435" t="s">
        <v>1297</v>
      </c>
      <c r="D158" s="25"/>
      <c r="E158" s="276" t="s">
        <v>1298</v>
      </c>
      <c r="F158" s="405"/>
      <c r="G158" s="75">
        <f>G159</f>
        <v>3530339</v>
      </c>
      <c r="H158" s="75">
        <f>H159</f>
        <v>0</v>
      </c>
      <c r="I158" s="75">
        <f t="shared" si="3"/>
        <v>3530339</v>
      </c>
      <c r="J158" s="240"/>
      <c r="K158" s="106"/>
      <c r="N158" s="158"/>
    </row>
    <row r="159" spans="1:14" s="104" customFormat="1" ht="46.5" customHeight="1">
      <c r="A159" s="263" t="s">
        <v>1299</v>
      </c>
      <c r="B159" s="263" t="s">
        <v>1300</v>
      </c>
      <c r="C159" s="435" t="s">
        <v>1300</v>
      </c>
      <c r="D159" s="25" t="s">
        <v>1080</v>
      </c>
      <c r="E159" s="422" t="s">
        <v>1301</v>
      </c>
      <c r="F159" s="405" t="s">
        <v>510</v>
      </c>
      <c r="G159" s="75">
        <v>3530339</v>
      </c>
      <c r="H159" s="75"/>
      <c r="I159" s="75">
        <f t="shared" si="3"/>
        <v>3530339</v>
      </c>
      <c r="J159" s="240"/>
      <c r="K159" s="106"/>
      <c r="N159" s="158"/>
    </row>
    <row r="160" spans="1:14" s="104" customFormat="1" ht="15.75" customHeight="1">
      <c r="A160" s="263" t="s">
        <v>719</v>
      </c>
      <c r="B160" s="263" t="s">
        <v>1129</v>
      </c>
      <c r="C160" s="263"/>
      <c r="D160" s="263"/>
      <c r="E160" s="276" t="s">
        <v>720</v>
      </c>
      <c r="F160" s="100"/>
      <c r="G160" s="75">
        <f>G161+G162</f>
        <v>2653808</v>
      </c>
      <c r="H160" s="75">
        <f>H161+H162</f>
        <v>191000</v>
      </c>
      <c r="I160" s="75">
        <f t="shared" si="3"/>
        <v>2844808</v>
      </c>
      <c r="J160" s="240">
        <f>J161+J162</f>
        <v>0</v>
      </c>
      <c r="K160" s="106"/>
      <c r="N160" s="158"/>
    </row>
    <row r="161" spans="1:14" s="104" customFormat="1" ht="52.5" customHeight="1">
      <c r="A161" s="260" t="s">
        <v>721</v>
      </c>
      <c r="B161" s="260" t="s">
        <v>1130</v>
      </c>
      <c r="C161" s="260" t="s">
        <v>23</v>
      </c>
      <c r="D161" s="260" t="s">
        <v>456</v>
      </c>
      <c r="E161" s="422" t="s">
        <v>722</v>
      </c>
      <c r="F161" s="199" t="s">
        <v>510</v>
      </c>
      <c r="G161" s="75">
        <f>2453308+(40000)+20000</f>
        <v>2513308</v>
      </c>
      <c r="H161" s="75">
        <f>(170000)</f>
        <v>170000</v>
      </c>
      <c r="I161" s="75">
        <f t="shared" si="3"/>
        <v>2683308</v>
      </c>
      <c r="J161" s="240"/>
      <c r="K161" s="106"/>
      <c r="N161" s="158"/>
    </row>
    <row r="162" spans="1:14" s="104" customFormat="1" ht="52.5" customHeight="1">
      <c r="A162" s="260" t="s">
        <v>721</v>
      </c>
      <c r="B162" s="260" t="s">
        <v>1130</v>
      </c>
      <c r="C162" s="260" t="s">
        <v>23</v>
      </c>
      <c r="D162" s="260" t="s">
        <v>456</v>
      </c>
      <c r="E162" s="422" t="s">
        <v>722</v>
      </c>
      <c r="F162" s="100" t="s">
        <v>1280</v>
      </c>
      <c r="G162" s="75">
        <f>34500+7000+20000+23000+36000+10000+10000</f>
        <v>140500</v>
      </c>
      <c r="H162" s="75">
        <f>12000+9000</f>
        <v>21000</v>
      </c>
      <c r="I162" s="75">
        <f t="shared" si="3"/>
        <v>161500</v>
      </c>
      <c r="J162" s="240"/>
      <c r="K162" s="106"/>
      <c r="N162" s="158"/>
    </row>
    <row r="163" spans="1:14" s="104" customFormat="1" ht="52.5" customHeight="1">
      <c r="A163" s="25" t="s">
        <v>713</v>
      </c>
      <c r="B163" s="25" t="s">
        <v>1089</v>
      </c>
      <c r="C163" s="263" t="s">
        <v>494</v>
      </c>
      <c r="D163" s="263" t="s">
        <v>495</v>
      </c>
      <c r="E163" s="276" t="s">
        <v>496</v>
      </c>
      <c r="F163" s="231" t="s">
        <v>14</v>
      </c>
      <c r="G163" s="75">
        <f>781522-181717+37</f>
        <v>599842</v>
      </c>
      <c r="H163" s="75"/>
      <c r="I163" s="75">
        <f t="shared" si="3"/>
        <v>599842</v>
      </c>
      <c r="J163" s="240"/>
      <c r="K163" s="106"/>
      <c r="N163" s="158"/>
    </row>
    <row r="164" spans="1:14" s="104" customFormat="1" ht="15.75" customHeight="1" hidden="1">
      <c r="A164" s="25" t="s">
        <v>723</v>
      </c>
      <c r="B164" s="25" t="s">
        <v>1131</v>
      </c>
      <c r="C164" s="263"/>
      <c r="D164" s="263"/>
      <c r="E164" s="276" t="s">
        <v>93</v>
      </c>
      <c r="F164" s="199"/>
      <c r="G164" s="75">
        <f>G165+G166+G167</f>
        <v>72463375</v>
      </c>
      <c r="H164" s="75">
        <f>H165+H166+H167</f>
        <v>0</v>
      </c>
      <c r="I164" s="75">
        <f t="shared" si="3"/>
        <v>72463375</v>
      </c>
      <c r="J164" s="240">
        <f>J165+J166+J167</f>
        <v>0</v>
      </c>
      <c r="K164" s="106"/>
      <c r="N164" s="158"/>
    </row>
    <row r="165" spans="1:14" s="104" customFormat="1" ht="51" customHeight="1">
      <c r="A165" s="278" t="s">
        <v>723</v>
      </c>
      <c r="B165" s="260" t="s">
        <v>1131</v>
      </c>
      <c r="C165" s="260" t="s">
        <v>86</v>
      </c>
      <c r="D165" s="260" t="s">
        <v>457</v>
      </c>
      <c r="E165" s="277" t="s">
        <v>93</v>
      </c>
      <c r="F165" s="196" t="s">
        <v>510</v>
      </c>
      <c r="G165" s="75">
        <f>22924006-439200+393600</f>
        <v>22878406</v>
      </c>
      <c r="H165" s="75"/>
      <c r="I165" s="75">
        <f t="shared" si="3"/>
        <v>22878406</v>
      </c>
      <c r="J165" s="240"/>
      <c r="K165" s="106"/>
      <c r="N165" s="158"/>
    </row>
    <row r="166" spans="1:14" s="104" customFormat="1" ht="51" customHeight="1">
      <c r="A166" s="278" t="s">
        <v>723</v>
      </c>
      <c r="B166" s="260" t="s">
        <v>1131</v>
      </c>
      <c r="C166" s="260" t="s">
        <v>86</v>
      </c>
      <c r="D166" s="260" t="s">
        <v>457</v>
      </c>
      <c r="E166" s="277" t="s">
        <v>93</v>
      </c>
      <c r="F166" s="339" t="s">
        <v>1186</v>
      </c>
      <c r="G166" s="75">
        <f>24002400-597222</f>
        <v>23405178</v>
      </c>
      <c r="H166" s="75"/>
      <c r="I166" s="75">
        <f t="shared" si="3"/>
        <v>23405178</v>
      </c>
      <c r="J166" s="240"/>
      <c r="K166" s="106"/>
      <c r="N166" s="158"/>
    </row>
    <row r="167" spans="1:14" s="104" customFormat="1" ht="50.25" customHeight="1">
      <c r="A167" s="278" t="s">
        <v>723</v>
      </c>
      <c r="B167" s="260" t="s">
        <v>1131</v>
      </c>
      <c r="C167" s="260" t="s">
        <v>86</v>
      </c>
      <c r="D167" s="260" t="s">
        <v>457</v>
      </c>
      <c r="E167" s="277" t="s">
        <v>93</v>
      </c>
      <c r="F167" s="100" t="s">
        <v>1280</v>
      </c>
      <c r="G167" s="75">
        <f>9600000+22400000-104000-1959587-234332-1438265-1664617-545240-306832-10000-2100649-1632751-253559-5000-160000-615101-1023348-331775-7500-393900-1262333+12800000-1327890-153280-2357750-78000-654500</f>
        <v>26179791</v>
      </c>
      <c r="H167" s="75"/>
      <c r="I167" s="75">
        <f t="shared" si="3"/>
        <v>26179791</v>
      </c>
      <c r="J167" s="240"/>
      <c r="K167" s="106"/>
      <c r="N167" s="158"/>
    </row>
    <row r="168" spans="1:14" s="104" customFormat="1" ht="15.75" customHeight="1">
      <c r="A168" s="308" t="s">
        <v>725</v>
      </c>
      <c r="B168" s="308" t="s">
        <v>1065</v>
      </c>
      <c r="C168" s="309" t="s">
        <v>568</v>
      </c>
      <c r="D168" s="309"/>
      <c r="E168" s="280" t="s">
        <v>688</v>
      </c>
      <c r="F168" s="215"/>
      <c r="G168" s="83">
        <f>G169</f>
        <v>0</v>
      </c>
      <c r="H168" s="83">
        <f>H169</f>
        <v>2637048</v>
      </c>
      <c r="I168" s="83">
        <f t="shared" si="3"/>
        <v>2637048</v>
      </c>
      <c r="J168" s="240">
        <f>J169</f>
        <v>0</v>
      </c>
      <c r="K168" s="106"/>
      <c r="N168" s="158"/>
    </row>
    <row r="169" spans="1:14" s="104" customFormat="1" ht="51.75" customHeight="1">
      <c r="A169" s="263" t="s">
        <v>726</v>
      </c>
      <c r="B169" s="263" t="s">
        <v>1066</v>
      </c>
      <c r="C169" s="263" t="s">
        <v>84</v>
      </c>
      <c r="D169" s="263" t="s">
        <v>438</v>
      </c>
      <c r="E169" s="348" t="s">
        <v>571</v>
      </c>
      <c r="F169" s="179" t="s">
        <v>510</v>
      </c>
      <c r="G169" s="75"/>
      <c r="H169" s="75">
        <f>7500000-230880-2900000-1732072</f>
        <v>2637048</v>
      </c>
      <c r="I169" s="75">
        <f t="shared" si="3"/>
        <v>2637048</v>
      </c>
      <c r="J169" s="240"/>
      <c r="K169" s="113"/>
      <c r="N169" s="158"/>
    </row>
    <row r="170" spans="1:14" s="104" customFormat="1" ht="36.75" customHeight="1">
      <c r="A170" s="98"/>
      <c r="B170" s="98" t="s">
        <v>176</v>
      </c>
      <c r="C170" s="98" t="s">
        <v>176</v>
      </c>
      <c r="D170" s="98"/>
      <c r="E170" s="99" t="s">
        <v>180</v>
      </c>
      <c r="F170" s="166"/>
      <c r="G170" s="83">
        <f>G171</f>
        <v>818931</v>
      </c>
      <c r="H170" s="83">
        <f>H171</f>
        <v>108583</v>
      </c>
      <c r="I170" s="83">
        <f aca="true" t="shared" si="4" ref="I170:I178">G170+H170</f>
        <v>927514</v>
      </c>
      <c r="J170" s="144">
        <f>J171</f>
        <v>0</v>
      </c>
      <c r="K170" s="106"/>
      <c r="N170" s="158"/>
    </row>
    <row r="171" spans="1:14" s="104" customFormat="1" ht="31.5" customHeight="1">
      <c r="A171" s="25" t="s">
        <v>727</v>
      </c>
      <c r="B171" s="25"/>
      <c r="C171" s="25"/>
      <c r="D171" s="25"/>
      <c r="E171" s="212" t="s">
        <v>180</v>
      </c>
      <c r="F171" s="199"/>
      <c r="G171" s="83">
        <f>G172+G174+G176</f>
        <v>818931</v>
      </c>
      <c r="H171" s="83">
        <f>H172+H174+H176</f>
        <v>108583</v>
      </c>
      <c r="I171" s="83">
        <f t="shared" si="4"/>
        <v>927514</v>
      </c>
      <c r="J171" s="144">
        <f>J172+J174+J176</f>
        <v>0</v>
      </c>
      <c r="K171" s="106"/>
      <c r="N171" s="158"/>
    </row>
    <row r="172" spans="1:14" s="104" customFormat="1" ht="15.75" customHeight="1" hidden="1">
      <c r="A172" s="308" t="s">
        <v>728</v>
      </c>
      <c r="B172" s="308" t="s">
        <v>1060</v>
      </c>
      <c r="C172" s="309" t="s">
        <v>555</v>
      </c>
      <c r="D172" s="309"/>
      <c r="E172" s="280" t="s">
        <v>556</v>
      </c>
      <c r="F172" s="199"/>
      <c r="G172" s="83">
        <f>G173</f>
        <v>0</v>
      </c>
      <c r="H172" s="83">
        <f>H173</f>
        <v>0</v>
      </c>
      <c r="I172" s="83">
        <f t="shared" si="4"/>
        <v>0</v>
      </c>
      <c r="J172" s="144">
        <f>J173</f>
        <v>0</v>
      </c>
      <c r="K172" s="106"/>
      <c r="N172" s="158"/>
    </row>
    <row r="173" spans="1:14" s="104" customFormat="1" ht="47.25" customHeight="1" hidden="1">
      <c r="A173" s="263" t="s">
        <v>729</v>
      </c>
      <c r="B173" s="263" t="s">
        <v>471</v>
      </c>
      <c r="C173" s="263" t="s">
        <v>165</v>
      </c>
      <c r="D173" s="263" t="s">
        <v>436</v>
      </c>
      <c r="E173" s="347" t="s">
        <v>730</v>
      </c>
      <c r="F173" s="405" t="s">
        <v>1276</v>
      </c>
      <c r="G173" s="75"/>
      <c r="H173" s="75"/>
      <c r="I173" s="75">
        <f t="shared" si="4"/>
        <v>0</v>
      </c>
      <c r="J173" s="236"/>
      <c r="K173" s="106"/>
      <c r="N173" s="158"/>
    </row>
    <row r="174" spans="1:14" s="104" customFormat="1" ht="15.75">
      <c r="A174" s="309"/>
      <c r="B174" s="309"/>
      <c r="C174" s="309" t="s">
        <v>590</v>
      </c>
      <c r="D174" s="309"/>
      <c r="E174" s="280" t="s">
        <v>591</v>
      </c>
      <c r="F174" s="199"/>
      <c r="G174" s="83">
        <f>G175</f>
        <v>312136</v>
      </c>
      <c r="H174" s="83">
        <f>H175</f>
        <v>108583</v>
      </c>
      <c r="I174" s="83">
        <f t="shared" si="4"/>
        <v>420719</v>
      </c>
      <c r="J174" s="236">
        <f>J175</f>
        <v>0</v>
      </c>
      <c r="K174" s="106"/>
      <c r="N174" s="158"/>
    </row>
    <row r="175" spans="1:14" s="104" customFormat="1" ht="76.5" customHeight="1">
      <c r="A175" s="263" t="s">
        <v>736</v>
      </c>
      <c r="B175" s="263" t="s">
        <v>448</v>
      </c>
      <c r="C175" s="25" t="s">
        <v>535</v>
      </c>
      <c r="D175" s="25" t="s">
        <v>440</v>
      </c>
      <c r="E175" s="9" t="s">
        <v>1257</v>
      </c>
      <c r="F175" s="405" t="s">
        <v>1258</v>
      </c>
      <c r="G175" s="75">
        <v>312136</v>
      </c>
      <c r="H175" s="75">
        <v>108583</v>
      </c>
      <c r="I175" s="75">
        <f t="shared" si="4"/>
        <v>420719</v>
      </c>
      <c r="J175" s="236"/>
      <c r="K175" s="106"/>
      <c r="N175" s="158"/>
    </row>
    <row r="176" spans="1:14" s="104" customFormat="1" ht="15.75" customHeight="1">
      <c r="A176" s="309"/>
      <c r="B176" s="309"/>
      <c r="C176" s="309" t="s">
        <v>612</v>
      </c>
      <c r="D176" s="309"/>
      <c r="E176" s="280" t="s">
        <v>613</v>
      </c>
      <c r="F176" s="199"/>
      <c r="G176" s="83">
        <f>G177</f>
        <v>506795</v>
      </c>
      <c r="H176" s="83">
        <f>H177</f>
        <v>0</v>
      </c>
      <c r="I176" s="83">
        <f t="shared" si="4"/>
        <v>506795</v>
      </c>
      <c r="J176" s="236">
        <f>J177</f>
        <v>0</v>
      </c>
      <c r="K176" s="106"/>
      <c r="N176" s="158"/>
    </row>
    <row r="177" spans="1:14" s="104" customFormat="1" ht="34.5" customHeight="1">
      <c r="A177" s="263" t="s">
        <v>731</v>
      </c>
      <c r="B177" s="263" t="s">
        <v>1133</v>
      </c>
      <c r="C177" s="25"/>
      <c r="D177" s="25"/>
      <c r="E177" s="276" t="s">
        <v>732</v>
      </c>
      <c r="F177" s="199"/>
      <c r="G177" s="75">
        <f>G178</f>
        <v>506795</v>
      </c>
      <c r="H177" s="75">
        <f>H178</f>
        <v>0</v>
      </c>
      <c r="I177" s="75">
        <f t="shared" si="4"/>
        <v>506795</v>
      </c>
      <c r="J177" s="236">
        <f>J178</f>
        <v>0</v>
      </c>
      <c r="K177" s="106"/>
      <c r="N177" s="158"/>
    </row>
    <row r="178" spans="1:14" s="104" customFormat="1" ht="61.5" customHeight="1">
      <c r="A178" s="263" t="s">
        <v>733</v>
      </c>
      <c r="B178" s="263" t="s">
        <v>1134</v>
      </c>
      <c r="C178" s="25" t="s">
        <v>536</v>
      </c>
      <c r="D178" s="25" t="s">
        <v>734</v>
      </c>
      <c r="E178" s="423" t="s">
        <v>735</v>
      </c>
      <c r="F178" s="195" t="s">
        <v>544</v>
      </c>
      <c r="G178" s="75">
        <v>506795</v>
      </c>
      <c r="H178" s="75"/>
      <c r="I178" s="75">
        <f t="shared" si="4"/>
        <v>506795</v>
      </c>
      <c r="J178" s="236"/>
      <c r="K178" s="106"/>
      <c r="N178" s="158"/>
    </row>
    <row r="179" spans="1:14" s="104" customFormat="1" ht="47.25" customHeight="1" hidden="1">
      <c r="A179" s="98"/>
      <c r="B179" s="98" t="s">
        <v>187</v>
      </c>
      <c r="C179" s="98" t="s">
        <v>187</v>
      </c>
      <c r="D179" s="98"/>
      <c r="E179" s="99" t="s">
        <v>529</v>
      </c>
      <c r="F179" s="164"/>
      <c r="G179" s="83">
        <f aca="true" t="shared" si="5" ref="G179:J181">G180</f>
        <v>0</v>
      </c>
      <c r="H179" s="83">
        <f t="shared" si="5"/>
        <v>0</v>
      </c>
      <c r="I179" s="83">
        <f>G179+H179</f>
        <v>0</v>
      </c>
      <c r="J179" s="144">
        <f t="shared" si="5"/>
        <v>0</v>
      </c>
      <c r="K179" s="106"/>
      <c r="N179" s="158"/>
    </row>
    <row r="180" spans="1:14" s="104" customFormat="1" ht="30.75" customHeight="1" hidden="1">
      <c r="A180" s="25" t="s">
        <v>737</v>
      </c>
      <c r="B180" s="25"/>
      <c r="C180" s="25"/>
      <c r="D180" s="25"/>
      <c r="E180" s="280" t="s">
        <v>529</v>
      </c>
      <c r="F180" s="199"/>
      <c r="G180" s="83">
        <f t="shared" si="5"/>
        <v>0</v>
      </c>
      <c r="H180" s="83">
        <f t="shared" si="5"/>
        <v>0</v>
      </c>
      <c r="I180" s="83"/>
      <c r="J180" s="144">
        <f t="shared" si="5"/>
        <v>0</v>
      </c>
      <c r="K180" s="106"/>
      <c r="N180" s="158"/>
    </row>
    <row r="181" spans="1:14" s="104" customFormat="1" ht="15.75" customHeight="1" hidden="1">
      <c r="A181" s="308" t="s">
        <v>738</v>
      </c>
      <c r="B181" s="308" t="s">
        <v>1060</v>
      </c>
      <c r="C181" s="309" t="s">
        <v>555</v>
      </c>
      <c r="D181" s="309"/>
      <c r="E181" s="280" t="s">
        <v>556</v>
      </c>
      <c r="F181" s="199"/>
      <c r="G181" s="83">
        <f t="shared" si="5"/>
        <v>0</v>
      </c>
      <c r="H181" s="83">
        <f t="shared" si="5"/>
        <v>0</v>
      </c>
      <c r="I181" s="83"/>
      <c r="J181" s="144">
        <f t="shared" si="5"/>
        <v>0</v>
      </c>
      <c r="K181" s="106"/>
      <c r="N181" s="158"/>
    </row>
    <row r="182" spans="1:14" s="104" customFormat="1" ht="47.25" customHeight="1" hidden="1">
      <c r="A182" s="263" t="s">
        <v>739</v>
      </c>
      <c r="B182" s="263" t="s">
        <v>471</v>
      </c>
      <c r="C182" s="263" t="s">
        <v>165</v>
      </c>
      <c r="D182" s="263" t="s">
        <v>436</v>
      </c>
      <c r="E182" s="347" t="s">
        <v>740</v>
      </c>
      <c r="F182" s="405" t="s">
        <v>1276</v>
      </c>
      <c r="G182" s="75"/>
      <c r="H182" s="75"/>
      <c r="I182" s="75">
        <f>G182+H182</f>
        <v>0</v>
      </c>
      <c r="J182" s="236"/>
      <c r="K182" s="113"/>
      <c r="N182" s="158"/>
    </row>
    <row r="183" spans="1:14" s="104" customFormat="1" ht="36.75" customHeight="1">
      <c r="A183" s="98"/>
      <c r="B183" s="98" t="s">
        <v>148</v>
      </c>
      <c r="C183" s="98" t="s">
        <v>148</v>
      </c>
      <c r="D183" s="96"/>
      <c r="E183" s="99" t="s">
        <v>519</v>
      </c>
      <c r="F183" s="166"/>
      <c r="G183" s="83">
        <f>G184</f>
        <v>7341709</v>
      </c>
      <c r="H183" s="83">
        <f>H184</f>
        <v>15463170</v>
      </c>
      <c r="I183" s="83">
        <f>G183+H183</f>
        <v>22804879</v>
      </c>
      <c r="J183" s="144">
        <f>J184</f>
        <v>126270</v>
      </c>
      <c r="K183" s="113"/>
      <c r="L183" s="115"/>
      <c r="N183" s="158"/>
    </row>
    <row r="184" spans="1:14" s="104" customFormat="1" ht="31.5" customHeight="1">
      <c r="A184" s="25" t="s">
        <v>741</v>
      </c>
      <c r="B184" s="25"/>
      <c r="C184" s="25"/>
      <c r="D184" s="25"/>
      <c r="E184" s="212" t="s">
        <v>519</v>
      </c>
      <c r="F184" s="197"/>
      <c r="G184" s="83">
        <f>G185+G187+G203+G205+G207</f>
        <v>7341709</v>
      </c>
      <c r="H184" s="83">
        <f>H185+H187+H203+H205+H207</f>
        <v>15463170</v>
      </c>
      <c r="I184" s="83">
        <f>G184+H184</f>
        <v>22804879</v>
      </c>
      <c r="J184" s="144">
        <f>J185+J187+J203+J205</f>
        <v>126270</v>
      </c>
      <c r="K184" s="113"/>
      <c r="L184" s="115"/>
      <c r="N184" s="158"/>
    </row>
    <row r="185" spans="1:14" s="104" customFormat="1" ht="15.75" customHeight="1">
      <c r="A185" s="308" t="s">
        <v>742</v>
      </c>
      <c r="B185" s="308" t="s">
        <v>1060</v>
      </c>
      <c r="C185" s="309" t="s">
        <v>555</v>
      </c>
      <c r="D185" s="309"/>
      <c r="E185" s="280" t="s">
        <v>556</v>
      </c>
      <c r="F185" s="197"/>
      <c r="G185" s="83">
        <f>G186</f>
        <v>0</v>
      </c>
      <c r="H185" s="83">
        <f>H186</f>
        <v>1546654</v>
      </c>
      <c r="I185" s="83">
        <f aca="true" t="shared" si="6" ref="I185:I246">G185+H185</f>
        <v>1546654</v>
      </c>
      <c r="J185" s="144">
        <f>J186</f>
        <v>0</v>
      </c>
      <c r="K185" s="113"/>
      <c r="L185" s="115"/>
      <c r="N185" s="158"/>
    </row>
    <row r="186" spans="1:14" s="104" customFormat="1" ht="47.25" customHeight="1">
      <c r="A186" s="263" t="s">
        <v>743</v>
      </c>
      <c r="B186" s="263" t="s">
        <v>471</v>
      </c>
      <c r="C186" s="263" t="s">
        <v>165</v>
      </c>
      <c r="D186" s="263" t="s">
        <v>436</v>
      </c>
      <c r="E186" s="347" t="s">
        <v>1180</v>
      </c>
      <c r="F186" s="412" t="s">
        <v>1255</v>
      </c>
      <c r="G186" s="75"/>
      <c r="H186" s="75">
        <v>1546654</v>
      </c>
      <c r="I186" s="75">
        <f t="shared" si="6"/>
        <v>1546654</v>
      </c>
      <c r="J186" s="144"/>
      <c r="K186" s="113"/>
      <c r="N186" s="158"/>
    </row>
    <row r="187" spans="1:14" s="104" customFormat="1" ht="15.75" customHeight="1">
      <c r="A187" s="308" t="s">
        <v>744</v>
      </c>
      <c r="B187" s="308" t="s">
        <v>1135</v>
      </c>
      <c r="C187" s="308" t="s">
        <v>745</v>
      </c>
      <c r="D187" s="308"/>
      <c r="E187" s="281" t="s">
        <v>746</v>
      </c>
      <c r="F187" s="197"/>
      <c r="G187" s="83">
        <f>G188+G189+G190+G191+G192+G193+G195+G196+G197+G194</f>
        <v>6648795</v>
      </c>
      <c r="H187" s="83">
        <f>H188+H189+H190+H191+H192+H193+H195+H196+H197+H194</f>
        <v>11440966</v>
      </c>
      <c r="I187" s="83">
        <f>I188+I189+I190+I191+I192+I193+I195+I196+I197+I194</f>
        <v>18089761</v>
      </c>
      <c r="J187" s="144">
        <f>J188+J189+J190+J191+J192+J193+J195+J196+J197</f>
        <v>126270</v>
      </c>
      <c r="K187" s="113"/>
      <c r="N187" s="158"/>
    </row>
    <row r="188" spans="1:14" s="104" customFormat="1" ht="47.25">
      <c r="A188" s="263" t="s">
        <v>747</v>
      </c>
      <c r="B188" s="263" t="s">
        <v>1136</v>
      </c>
      <c r="C188" s="263">
        <v>110102</v>
      </c>
      <c r="D188" s="263" t="s">
        <v>459</v>
      </c>
      <c r="E188" s="276" t="s">
        <v>160</v>
      </c>
      <c r="F188" s="412" t="s">
        <v>1255</v>
      </c>
      <c r="G188" s="75">
        <v>198880</v>
      </c>
      <c r="H188" s="75">
        <v>808480</v>
      </c>
      <c r="I188" s="75">
        <f t="shared" si="6"/>
        <v>1007360</v>
      </c>
      <c r="J188" s="236"/>
      <c r="K188" s="106"/>
      <c r="N188" s="158"/>
    </row>
    <row r="189" spans="1:14" s="104" customFormat="1" ht="53.25" customHeight="1">
      <c r="A189" s="260" t="s">
        <v>748</v>
      </c>
      <c r="B189" s="260" t="s">
        <v>1137</v>
      </c>
      <c r="C189" s="260">
        <v>110201</v>
      </c>
      <c r="D189" s="260" t="s">
        <v>460</v>
      </c>
      <c r="E189" s="277" t="s">
        <v>162</v>
      </c>
      <c r="F189" s="412" t="s">
        <v>1255</v>
      </c>
      <c r="G189" s="75">
        <f>864793-106526</f>
        <v>758267</v>
      </c>
      <c r="H189" s="75">
        <f>985409+242524</f>
        <v>1227933</v>
      </c>
      <c r="I189" s="75">
        <f t="shared" si="6"/>
        <v>1986200</v>
      </c>
      <c r="J189" s="236"/>
      <c r="K189" s="113"/>
      <c r="M189" s="115"/>
      <c r="N189" s="158"/>
    </row>
    <row r="190" spans="1:14" s="104" customFormat="1" ht="47.25">
      <c r="A190" s="260" t="s">
        <v>748</v>
      </c>
      <c r="B190" s="260" t="s">
        <v>1137</v>
      </c>
      <c r="C190" s="260">
        <v>110201</v>
      </c>
      <c r="D190" s="260" t="s">
        <v>460</v>
      </c>
      <c r="E190" s="277" t="s">
        <v>162</v>
      </c>
      <c r="F190" s="100" t="s">
        <v>1280</v>
      </c>
      <c r="G190" s="82">
        <f>10000+25000+12000+17000+8000+5000+5500+15000</f>
        <v>97500</v>
      </c>
      <c r="H190" s="82">
        <f>38000+13000+30500+11000+20000+10000+13000+10000</f>
        <v>145500</v>
      </c>
      <c r="I190" s="82">
        <f t="shared" si="6"/>
        <v>243000</v>
      </c>
      <c r="J190" s="244"/>
      <c r="K190" s="106"/>
      <c r="N190" s="158"/>
    </row>
    <row r="191" spans="1:14" s="104" customFormat="1" ht="60" customHeight="1">
      <c r="A191" s="260" t="s">
        <v>749</v>
      </c>
      <c r="B191" s="260" t="s">
        <v>1138</v>
      </c>
      <c r="C191" s="260">
        <v>110204</v>
      </c>
      <c r="D191" s="260" t="s">
        <v>461</v>
      </c>
      <c r="E191" s="409" t="s">
        <v>170</v>
      </c>
      <c r="F191" s="412" t="s">
        <v>1255</v>
      </c>
      <c r="G191" s="75">
        <v>22392</v>
      </c>
      <c r="H191" s="75">
        <f>4657870+(50000)</f>
        <v>4707870</v>
      </c>
      <c r="I191" s="75">
        <f t="shared" si="6"/>
        <v>4730262</v>
      </c>
      <c r="J191" s="236"/>
      <c r="K191" s="113"/>
      <c r="L191" s="115"/>
      <c r="M191" s="115"/>
      <c r="N191" s="158"/>
    </row>
    <row r="192" spans="1:14" s="104" customFormat="1" ht="47.25">
      <c r="A192" s="260" t="s">
        <v>749</v>
      </c>
      <c r="B192" s="260" t="s">
        <v>1138</v>
      </c>
      <c r="C192" s="260">
        <v>110204</v>
      </c>
      <c r="D192" s="260" t="s">
        <v>461</v>
      </c>
      <c r="E192" s="409" t="s">
        <v>170</v>
      </c>
      <c r="F192" s="100" t="s">
        <v>1280</v>
      </c>
      <c r="G192" s="369">
        <f>500000-472900+15280</f>
        <v>42380</v>
      </c>
      <c r="H192" s="369">
        <f>500000+25000</f>
        <v>525000</v>
      </c>
      <c r="I192" s="369">
        <f t="shared" si="6"/>
        <v>567380</v>
      </c>
      <c r="J192" s="243"/>
      <c r="K192" s="106"/>
      <c r="N192" s="158"/>
    </row>
    <row r="193" spans="1:14" s="104" customFormat="1" ht="47.25">
      <c r="A193" s="260" t="s">
        <v>750</v>
      </c>
      <c r="B193" s="260" t="s">
        <v>1139</v>
      </c>
      <c r="C193" s="260">
        <v>110205</v>
      </c>
      <c r="D193" s="260" t="s">
        <v>442</v>
      </c>
      <c r="E193" s="277" t="s">
        <v>168</v>
      </c>
      <c r="F193" s="412" t="s">
        <v>1255</v>
      </c>
      <c r="G193" s="75">
        <f>275013</f>
        <v>275013</v>
      </c>
      <c r="H193" s="75">
        <f>4186142-242524</f>
        <v>3943618</v>
      </c>
      <c r="I193" s="75">
        <f t="shared" si="6"/>
        <v>4218631</v>
      </c>
      <c r="J193" s="236">
        <v>126270</v>
      </c>
      <c r="K193" s="113"/>
      <c r="M193" s="115"/>
      <c r="N193" s="158"/>
    </row>
    <row r="194" spans="1:14" s="104" customFormat="1" ht="47.25">
      <c r="A194" s="260" t="s">
        <v>750</v>
      </c>
      <c r="B194" s="260" t="s">
        <v>1139</v>
      </c>
      <c r="C194" s="260">
        <v>110205</v>
      </c>
      <c r="D194" s="260" t="s">
        <v>442</v>
      </c>
      <c r="E194" s="277" t="s">
        <v>168</v>
      </c>
      <c r="F194" s="403" t="s">
        <v>1230</v>
      </c>
      <c r="G194" s="75">
        <v>134435</v>
      </c>
      <c r="H194" s="75">
        <v>65565</v>
      </c>
      <c r="I194" s="75">
        <f t="shared" si="6"/>
        <v>200000</v>
      </c>
      <c r="J194" s="236"/>
      <c r="K194" s="113"/>
      <c r="M194" s="115"/>
      <c r="N194" s="158"/>
    </row>
    <row r="195" spans="1:14" s="120" customFormat="1" ht="52.5" customHeight="1">
      <c r="A195" s="260" t="s">
        <v>750</v>
      </c>
      <c r="B195" s="260" t="s">
        <v>1139</v>
      </c>
      <c r="C195" s="260">
        <v>110205</v>
      </c>
      <c r="D195" s="260" t="s">
        <v>442</v>
      </c>
      <c r="E195" s="277" t="s">
        <v>168</v>
      </c>
      <c r="F195" s="100" t="s">
        <v>1280</v>
      </c>
      <c r="G195" s="370">
        <f>13000+15000+5700</f>
        <v>33700</v>
      </c>
      <c r="H195" s="370">
        <f>10000+8000-1000</f>
        <v>17000</v>
      </c>
      <c r="I195" s="370">
        <f t="shared" si="6"/>
        <v>50700</v>
      </c>
      <c r="J195" s="247"/>
      <c r="K195" s="119"/>
      <c r="M195" s="121"/>
      <c r="N195" s="122"/>
    </row>
    <row r="196" spans="1:15" s="104" customFormat="1" ht="47.25">
      <c r="A196" s="263" t="s">
        <v>751</v>
      </c>
      <c r="B196" s="263" t="s">
        <v>1140</v>
      </c>
      <c r="C196" s="263" t="s">
        <v>752</v>
      </c>
      <c r="D196" s="263" t="s">
        <v>463</v>
      </c>
      <c r="E196" s="276" t="s">
        <v>30</v>
      </c>
      <c r="F196" s="412" t="s">
        <v>1255</v>
      </c>
      <c r="G196" s="367">
        <v>2726604</v>
      </c>
      <c r="H196" s="367"/>
      <c r="I196" s="367">
        <f t="shared" si="6"/>
        <v>2726604</v>
      </c>
      <c r="J196" s="242"/>
      <c r="K196" s="106"/>
      <c r="N196" s="114"/>
      <c r="O196" s="115"/>
    </row>
    <row r="197" spans="1:14" s="104" customFormat="1" ht="47.25">
      <c r="A197" s="263" t="s">
        <v>753</v>
      </c>
      <c r="B197" s="263" t="s">
        <v>1141</v>
      </c>
      <c r="C197" s="263" t="s">
        <v>754</v>
      </c>
      <c r="D197" s="263" t="s">
        <v>462</v>
      </c>
      <c r="E197" s="276" t="s">
        <v>18</v>
      </c>
      <c r="F197" s="412" t="s">
        <v>1255</v>
      </c>
      <c r="G197" s="367">
        <f>G198+G199+G200+G201+G202</f>
        <v>2359624</v>
      </c>
      <c r="H197" s="367">
        <f>H198+H199+H200+H201+H202</f>
        <v>0</v>
      </c>
      <c r="I197" s="367">
        <f t="shared" si="6"/>
        <v>2359624</v>
      </c>
      <c r="J197" s="242">
        <f>J198+J199+J200+J201+J202</f>
        <v>0</v>
      </c>
      <c r="K197" s="106"/>
      <c r="N197" s="158"/>
    </row>
    <row r="198" spans="1:14" s="104" customFormat="1" ht="47.25" customHeight="1" hidden="1">
      <c r="A198" s="263" t="s">
        <v>753</v>
      </c>
      <c r="B198" s="263" t="s">
        <v>1141</v>
      </c>
      <c r="C198" s="263">
        <v>110502</v>
      </c>
      <c r="D198" s="263" t="s">
        <v>462</v>
      </c>
      <c r="E198" s="276" t="s">
        <v>18</v>
      </c>
      <c r="F198" s="412" t="s">
        <v>1255</v>
      </c>
      <c r="G198" s="367"/>
      <c r="H198" s="367"/>
      <c r="I198" s="367">
        <f t="shared" si="6"/>
        <v>0</v>
      </c>
      <c r="J198" s="242"/>
      <c r="K198" s="106"/>
      <c r="N198" s="158"/>
    </row>
    <row r="199" spans="1:14" s="104" customFormat="1" ht="47.25" customHeight="1" hidden="1">
      <c r="A199" s="263" t="s">
        <v>753</v>
      </c>
      <c r="B199" s="263" t="s">
        <v>1141</v>
      </c>
      <c r="C199" s="263" t="s">
        <v>754</v>
      </c>
      <c r="D199" s="263" t="s">
        <v>462</v>
      </c>
      <c r="E199" s="276" t="s">
        <v>18</v>
      </c>
      <c r="F199" s="412" t="s">
        <v>1255</v>
      </c>
      <c r="G199" s="367"/>
      <c r="H199" s="367"/>
      <c r="I199" s="367">
        <f t="shared" si="6"/>
        <v>0</v>
      </c>
      <c r="J199" s="242"/>
      <c r="K199" s="106"/>
      <c r="N199" s="158"/>
    </row>
    <row r="200" spans="1:14" s="104" customFormat="1" ht="47.25" customHeight="1" hidden="1">
      <c r="A200" s="263" t="s">
        <v>753</v>
      </c>
      <c r="B200" s="263" t="s">
        <v>1141</v>
      </c>
      <c r="C200" s="263" t="s">
        <v>754</v>
      </c>
      <c r="D200" s="263" t="s">
        <v>462</v>
      </c>
      <c r="E200" s="276" t="s">
        <v>18</v>
      </c>
      <c r="F200" s="412" t="s">
        <v>1255</v>
      </c>
      <c r="G200" s="367">
        <f>887659-70709</f>
        <v>816950</v>
      </c>
      <c r="H200" s="367"/>
      <c r="I200" s="367">
        <f t="shared" si="6"/>
        <v>816950</v>
      </c>
      <c r="J200" s="242"/>
      <c r="K200" s="106"/>
      <c r="N200" s="158"/>
    </row>
    <row r="201" spans="1:14" s="104" customFormat="1" ht="47.25" customHeight="1" hidden="1">
      <c r="A201" s="263" t="s">
        <v>753</v>
      </c>
      <c r="B201" s="263" t="s">
        <v>1141</v>
      </c>
      <c r="C201" s="263" t="s">
        <v>754</v>
      </c>
      <c r="D201" s="263" t="s">
        <v>462</v>
      </c>
      <c r="E201" s="276" t="s">
        <v>18</v>
      </c>
      <c r="F201" s="412" t="s">
        <v>1255</v>
      </c>
      <c r="G201" s="367">
        <v>1542674</v>
      </c>
      <c r="H201" s="367"/>
      <c r="I201" s="367">
        <f t="shared" si="6"/>
        <v>1542674</v>
      </c>
      <c r="J201" s="242"/>
      <c r="K201" s="106"/>
      <c r="N201" s="158"/>
    </row>
    <row r="202" spans="1:14" s="104" customFormat="1" ht="47.25" customHeight="1" hidden="1">
      <c r="A202" s="263" t="s">
        <v>755</v>
      </c>
      <c r="B202" s="263" t="s">
        <v>1142</v>
      </c>
      <c r="C202" s="263" t="s">
        <v>754</v>
      </c>
      <c r="D202" s="263" t="s">
        <v>462</v>
      </c>
      <c r="E202" s="347" t="s">
        <v>756</v>
      </c>
      <c r="F202" s="412" t="s">
        <v>1255</v>
      </c>
      <c r="G202" s="367"/>
      <c r="H202" s="367"/>
      <c r="I202" s="367">
        <f t="shared" si="6"/>
        <v>0</v>
      </c>
      <c r="J202" s="242"/>
      <c r="K202" s="106"/>
      <c r="N202" s="158"/>
    </row>
    <row r="203" spans="1:14" s="104" customFormat="1" ht="15.75" customHeight="1">
      <c r="A203" s="308" t="s">
        <v>757</v>
      </c>
      <c r="B203" s="308" t="s">
        <v>1065</v>
      </c>
      <c r="C203" s="308" t="s">
        <v>568</v>
      </c>
      <c r="D203" s="308"/>
      <c r="E203" s="349" t="s">
        <v>688</v>
      </c>
      <c r="F203" s="197"/>
      <c r="G203" s="346">
        <f>G204</f>
        <v>0</v>
      </c>
      <c r="H203" s="346">
        <f>H204</f>
        <v>1475550</v>
      </c>
      <c r="I203" s="346">
        <f t="shared" si="6"/>
        <v>1475550</v>
      </c>
      <c r="J203" s="237">
        <f>J204</f>
        <v>0</v>
      </c>
      <c r="K203" s="106"/>
      <c r="N203" s="158"/>
    </row>
    <row r="204" spans="1:14" s="104" customFormat="1" ht="56.25" customHeight="1">
      <c r="A204" s="263" t="s">
        <v>758</v>
      </c>
      <c r="B204" s="263" t="s">
        <v>1066</v>
      </c>
      <c r="C204" s="263" t="s">
        <v>84</v>
      </c>
      <c r="D204" s="263" t="s">
        <v>438</v>
      </c>
      <c r="E204" s="276" t="s">
        <v>571</v>
      </c>
      <c r="F204" s="412" t="s">
        <v>1255</v>
      </c>
      <c r="G204" s="305"/>
      <c r="H204" s="305">
        <v>1475550</v>
      </c>
      <c r="I204" s="305">
        <f t="shared" si="6"/>
        <v>1475550</v>
      </c>
      <c r="J204" s="241"/>
      <c r="K204" s="113"/>
      <c r="N204" s="158"/>
    </row>
    <row r="205" spans="1:14" s="104" customFormat="1" ht="31.5">
      <c r="A205" s="308" t="s">
        <v>760</v>
      </c>
      <c r="B205" s="308" t="s">
        <v>1143</v>
      </c>
      <c r="C205" s="308" t="s">
        <v>206</v>
      </c>
      <c r="D205" s="308" t="s">
        <v>446</v>
      </c>
      <c r="E205" s="349" t="s">
        <v>207</v>
      </c>
      <c r="F205" s="398" t="s">
        <v>1217</v>
      </c>
      <c r="G205" s="305">
        <f>G206</f>
        <v>692914</v>
      </c>
      <c r="H205" s="305">
        <f>H206</f>
        <v>0</v>
      </c>
      <c r="I205" s="305">
        <f t="shared" si="6"/>
        <v>692914</v>
      </c>
      <c r="J205" s="241">
        <f>J206</f>
        <v>0</v>
      </c>
      <c r="K205" s="113"/>
      <c r="N205" s="158"/>
    </row>
    <row r="206" spans="1:14" s="104" customFormat="1" ht="39" customHeight="1" hidden="1">
      <c r="A206" s="25" t="s">
        <v>761</v>
      </c>
      <c r="B206" s="25" t="s">
        <v>1144</v>
      </c>
      <c r="C206" s="25" t="s">
        <v>206</v>
      </c>
      <c r="D206" s="25" t="s">
        <v>446</v>
      </c>
      <c r="E206" s="348" t="s">
        <v>759</v>
      </c>
      <c r="F206" s="398" t="s">
        <v>1217</v>
      </c>
      <c r="G206" s="305">
        <f>622205+70709</f>
        <v>692914</v>
      </c>
      <c r="H206" s="305"/>
      <c r="I206" s="305">
        <f t="shared" si="6"/>
        <v>692914</v>
      </c>
      <c r="J206" s="241"/>
      <c r="K206" s="113"/>
      <c r="N206" s="158"/>
    </row>
    <row r="207" spans="1:14" s="104" customFormat="1" ht="15.75" customHeight="1">
      <c r="A207" s="308" t="s">
        <v>1277</v>
      </c>
      <c r="B207" s="308" t="s">
        <v>1076</v>
      </c>
      <c r="C207" s="308" t="s">
        <v>574</v>
      </c>
      <c r="D207" s="308"/>
      <c r="E207" s="349" t="s">
        <v>575</v>
      </c>
      <c r="F207" s="412"/>
      <c r="G207" s="346">
        <f>G208</f>
        <v>0</v>
      </c>
      <c r="H207" s="346">
        <f>H208</f>
        <v>1000000</v>
      </c>
      <c r="I207" s="346">
        <f t="shared" si="6"/>
        <v>1000000</v>
      </c>
      <c r="J207" s="237"/>
      <c r="K207" s="106"/>
      <c r="N207" s="158"/>
    </row>
    <row r="208" spans="1:14" s="104" customFormat="1" ht="50.25" customHeight="1">
      <c r="A208" s="430" t="s">
        <v>1278</v>
      </c>
      <c r="B208" s="430" t="s">
        <v>1077</v>
      </c>
      <c r="C208" s="430" t="s">
        <v>71</v>
      </c>
      <c r="D208" s="430" t="s">
        <v>439</v>
      </c>
      <c r="E208" s="206" t="s">
        <v>221</v>
      </c>
      <c r="F208" s="412" t="s">
        <v>1240</v>
      </c>
      <c r="G208" s="305"/>
      <c r="H208" s="305">
        <v>1000000</v>
      </c>
      <c r="I208" s="305">
        <f t="shared" si="6"/>
        <v>1000000</v>
      </c>
      <c r="J208" s="241"/>
      <c r="K208" s="113"/>
      <c r="N208" s="158"/>
    </row>
    <row r="209" spans="1:14" s="104" customFormat="1" ht="54" customHeight="1">
      <c r="A209" s="98"/>
      <c r="B209" s="98" t="s">
        <v>1274</v>
      </c>
      <c r="C209" s="98"/>
      <c r="D209" s="98"/>
      <c r="E209" s="99" t="s">
        <v>1273</v>
      </c>
      <c r="F209" s="412"/>
      <c r="G209" s="83">
        <f>G210</f>
        <v>0</v>
      </c>
      <c r="H209" s="83">
        <f>H210</f>
        <v>143660</v>
      </c>
      <c r="I209" s="83">
        <f t="shared" si="6"/>
        <v>143660</v>
      </c>
      <c r="J209" s="144"/>
      <c r="K209" s="113"/>
      <c r="N209" s="158"/>
    </row>
    <row r="210" spans="1:14" s="104" customFormat="1" ht="15.75" customHeight="1">
      <c r="A210" s="308" t="s">
        <v>1275</v>
      </c>
      <c r="B210" s="308" t="s">
        <v>1060</v>
      </c>
      <c r="C210" s="309"/>
      <c r="D210" s="309"/>
      <c r="E210" s="280" t="s">
        <v>556</v>
      </c>
      <c r="F210" s="405"/>
      <c r="G210" s="83">
        <f>G211</f>
        <v>0</v>
      </c>
      <c r="H210" s="83">
        <f>H211</f>
        <v>143660</v>
      </c>
      <c r="I210" s="305">
        <f t="shared" si="6"/>
        <v>143660</v>
      </c>
      <c r="J210" s="144"/>
      <c r="K210" s="113"/>
      <c r="N210" s="158"/>
    </row>
    <row r="211" spans="1:14" s="104" customFormat="1" ht="52.5" customHeight="1">
      <c r="A211" s="25" t="s">
        <v>1271</v>
      </c>
      <c r="B211" s="25" t="s">
        <v>471</v>
      </c>
      <c r="C211" s="25"/>
      <c r="D211" s="25" t="s">
        <v>436</v>
      </c>
      <c r="E211" s="276" t="s">
        <v>1272</v>
      </c>
      <c r="F211" s="405" t="s">
        <v>1276</v>
      </c>
      <c r="G211" s="305"/>
      <c r="H211" s="305">
        <v>143660</v>
      </c>
      <c r="I211" s="305">
        <f t="shared" si="6"/>
        <v>143660</v>
      </c>
      <c r="J211" s="241"/>
      <c r="K211" s="113"/>
      <c r="N211" s="158"/>
    </row>
    <row r="212" spans="1:14" s="104" customFormat="1" ht="54" customHeight="1">
      <c r="A212" s="98"/>
      <c r="B212" s="98" t="s">
        <v>147</v>
      </c>
      <c r="C212" s="98" t="s">
        <v>147</v>
      </c>
      <c r="D212" s="98"/>
      <c r="E212" s="99" t="s">
        <v>522</v>
      </c>
      <c r="F212" s="404"/>
      <c r="G212" s="83">
        <f>G213</f>
        <v>4357664</v>
      </c>
      <c r="H212" s="83">
        <f>H213</f>
        <v>4428389</v>
      </c>
      <c r="I212" s="83">
        <f t="shared" si="6"/>
        <v>8786053</v>
      </c>
      <c r="J212" s="144">
        <f>J213</f>
        <v>0</v>
      </c>
      <c r="K212" s="113"/>
      <c r="N212" s="158"/>
    </row>
    <row r="213" spans="1:14" s="104" customFormat="1" ht="30" customHeight="1">
      <c r="A213" s="25" t="s">
        <v>762</v>
      </c>
      <c r="B213" s="25"/>
      <c r="C213" s="25"/>
      <c r="D213" s="25"/>
      <c r="E213" s="212" t="s">
        <v>522</v>
      </c>
      <c r="F213" s="216"/>
      <c r="G213" s="83">
        <f>G214+G217+G220+G222</f>
        <v>4357664</v>
      </c>
      <c r="H213" s="83">
        <f>H214+H217+H220+H222</f>
        <v>4428389</v>
      </c>
      <c r="I213" s="83">
        <f t="shared" si="6"/>
        <v>8786053</v>
      </c>
      <c r="J213" s="144">
        <f>J214+J217+J220+J222</f>
        <v>0</v>
      </c>
      <c r="K213" s="113"/>
      <c r="N213" s="158"/>
    </row>
    <row r="214" spans="1:14" s="104" customFormat="1" ht="15.75" customHeight="1">
      <c r="A214" s="308" t="s">
        <v>763</v>
      </c>
      <c r="B214" s="308" t="s">
        <v>1060</v>
      </c>
      <c r="C214" s="309" t="s">
        <v>555</v>
      </c>
      <c r="D214" s="309"/>
      <c r="E214" s="280" t="s">
        <v>556</v>
      </c>
      <c r="F214" s="216"/>
      <c r="G214" s="83">
        <f>G215+G216</f>
        <v>762399</v>
      </c>
      <c r="H214" s="83">
        <f>H215+H216</f>
        <v>278910</v>
      </c>
      <c r="I214" s="83">
        <f t="shared" si="6"/>
        <v>1041309</v>
      </c>
      <c r="J214" s="144">
        <f>J215+J216</f>
        <v>0</v>
      </c>
      <c r="K214" s="113"/>
      <c r="N214" s="158"/>
    </row>
    <row r="215" spans="1:14" s="104" customFormat="1" ht="57.75" customHeight="1" hidden="1">
      <c r="A215" s="260" t="s">
        <v>764</v>
      </c>
      <c r="B215" s="260" t="s">
        <v>471</v>
      </c>
      <c r="C215" s="260" t="s">
        <v>165</v>
      </c>
      <c r="D215" s="260" t="s">
        <v>436</v>
      </c>
      <c r="E215" s="277" t="s">
        <v>765</v>
      </c>
      <c r="F215" s="179" t="s">
        <v>506</v>
      </c>
      <c r="G215" s="75"/>
      <c r="H215" s="75">
        <f>1911496-1911496</f>
        <v>0</v>
      </c>
      <c r="I215" s="75">
        <f t="shared" si="6"/>
        <v>0</v>
      </c>
      <c r="J215" s="236"/>
      <c r="K215" s="113"/>
      <c r="N215" s="158"/>
    </row>
    <row r="216" spans="1:14" s="104" customFormat="1" ht="57.75" customHeight="1">
      <c r="A216" s="260" t="s">
        <v>764</v>
      </c>
      <c r="B216" s="260" t="s">
        <v>471</v>
      </c>
      <c r="C216" s="260" t="s">
        <v>165</v>
      </c>
      <c r="D216" s="260" t="s">
        <v>436</v>
      </c>
      <c r="E216" s="277" t="s">
        <v>765</v>
      </c>
      <c r="F216" s="405" t="s">
        <v>1232</v>
      </c>
      <c r="G216" s="75">
        <v>762399</v>
      </c>
      <c r="H216" s="75">
        <v>278910</v>
      </c>
      <c r="I216" s="75">
        <f t="shared" si="6"/>
        <v>1041309</v>
      </c>
      <c r="J216" s="236"/>
      <c r="K216" s="113"/>
      <c r="N216" s="158"/>
    </row>
    <row r="217" spans="1:14" s="104" customFormat="1" ht="26.25" customHeight="1">
      <c r="A217" s="308" t="s">
        <v>766</v>
      </c>
      <c r="B217" s="308" t="s">
        <v>1065</v>
      </c>
      <c r="C217" s="308" t="s">
        <v>568</v>
      </c>
      <c r="D217" s="308"/>
      <c r="E217" s="281" t="s">
        <v>688</v>
      </c>
      <c r="F217" s="216"/>
      <c r="G217" s="345">
        <f>+G218</f>
        <v>0</v>
      </c>
      <c r="H217" s="345">
        <f>+H218+H219</f>
        <v>4149479</v>
      </c>
      <c r="I217" s="345">
        <f t="shared" si="6"/>
        <v>4149479</v>
      </c>
      <c r="J217" s="241">
        <f>+J218</f>
        <v>0</v>
      </c>
      <c r="K217" s="113"/>
      <c r="N217" s="158"/>
    </row>
    <row r="218" spans="1:14" s="104" customFormat="1" ht="48" customHeight="1">
      <c r="A218" s="260" t="s">
        <v>767</v>
      </c>
      <c r="B218" s="260" t="s">
        <v>1066</v>
      </c>
      <c r="C218" s="260" t="s">
        <v>84</v>
      </c>
      <c r="D218" s="260" t="s">
        <v>438</v>
      </c>
      <c r="E218" s="277" t="s">
        <v>571</v>
      </c>
      <c r="F218" s="405" t="s">
        <v>1232</v>
      </c>
      <c r="G218" s="305"/>
      <c r="H218" s="305">
        <f>2670892+651679</f>
        <v>3322571</v>
      </c>
      <c r="I218" s="305">
        <f t="shared" si="6"/>
        <v>3322571</v>
      </c>
      <c r="J218" s="241"/>
      <c r="K218" s="113"/>
      <c r="N218" s="158"/>
    </row>
    <row r="219" spans="1:14" s="104" customFormat="1" ht="48" customHeight="1">
      <c r="A219" s="260" t="s">
        <v>767</v>
      </c>
      <c r="B219" s="260" t="s">
        <v>1066</v>
      </c>
      <c r="C219" s="260" t="s">
        <v>84</v>
      </c>
      <c r="D219" s="260" t="s">
        <v>438</v>
      </c>
      <c r="E219" s="277" t="s">
        <v>571</v>
      </c>
      <c r="F219" s="405" t="s">
        <v>506</v>
      </c>
      <c r="G219" s="305"/>
      <c r="H219" s="305">
        <f>608400+218508</f>
        <v>826908</v>
      </c>
      <c r="I219" s="305">
        <f t="shared" si="6"/>
        <v>826908</v>
      </c>
      <c r="J219" s="241"/>
      <c r="K219" s="113"/>
      <c r="N219" s="158"/>
    </row>
    <row r="220" spans="1:14" s="104" customFormat="1" ht="15.75" customHeight="1">
      <c r="A220" s="308" t="s">
        <v>768</v>
      </c>
      <c r="B220" s="308" t="s">
        <v>1068</v>
      </c>
      <c r="C220" s="308" t="s">
        <v>565</v>
      </c>
      <c r="D220" s="308"/>
      <c r="E220" s="281" t="s">
        <v>566</v>
      </c>
      <c r="F220" s="216"/>
      <c r="G220" s="83">
        <f>G221</f>
        <v>680000</v>
      </c>
      <c r="H220" s="83">
        <f>H221</f>
        <v>0</v>
      </c>
      <c r="I220" s="83">
        <f t="shared" si="6"/>
        <v>680000</v>
      </c>
      <c r="J220" s="236">
        <f>J221</f>
        <v>0</v>
      </c>
      <c r="K220" s="113"/>
      <c r="N220" s="158"/>
    </row>
    <row r="221" spans="1:15" s="104" customFormat="1" ht="51.75" customHeight="1">
      <c r="A221" s="263" t="s">
        <v>769</v>
      </c>
      <c r="B221" s="263" t="s">
        <v>1145</v>
      </c>
      <c r="C221" s="263" t="s">
        <v>102</v>
      </c>
      <c r="D221" s="263" t="s">
        <v>446</v>
      </c>
      <c r="E221" s="276" t="s">
        <v>770</v>
      </c>
      <c r="F221" s="396" t="s">
        <v>1218</v>
      </c>
      <c r="G221" s="75">
        <f>500000+80000+100000</f>
        <v>680000</v>
      </c>
      <c r="H221" s="75"/>
      <c r="I221" s="75">
        <f t="shared" si="6"/>
        <v>680000</v>
      </c>
      <c r="J221" s="236"/>
      <c r="K221" s="106"/>
      <c r="N221" s="114"/>
      <c r="O221" s="115"/>
    </row>
    <row r="222" spans="1:15" s="104" customFormat="1" ht="15.75" customHeight="1">
      <c r="A222" s="308" t="s">
        <v>771</v>
      </c>
      <c r="B222" s="308" t="s">
        <v>1070</v>
      </c>
      <c r="C222" s="308" t="s">
        <v>580</v>
      </c>
      <c r="D222" s="308"/>
      <c r="E222" s="281" t="s">
        <v>581</v>
      </c>
      <c r="F222" s="216"/>
      <c r="G222" s="75">
        <f>G223</f>
        <v>2915265</v>
      </c>
      <c r="H222" s="75">
        <f>H223</f>
        <v>0</v>
      </c>
      <c r="I222" s="75">
        <f t="shared" si="6"/>
        <v>2915265</v>
      </c>
      <c r="J222" s="236">
        <f>J223</f>
        <v>0</v>
      </c>
      <c r="K222" s="106"/>
      <c r="N222" s="114"/>
      <c r="O222" s="115"/>
    </row>
    <row r="223" spans="1:15" s="104" customFormat="1" ht="15.75" customHeight="1" hidden="1">
      <c r="A223" s="311" t="s">
        <v>772</v>
      </c>
      <c r="B223" s="311" t="s">
        <v>1071</v>
      </c>
      <c r="C223" s="311" t="s">
        <v>77</v>
      </c>
      <c r="D223" s="311"/>
      <c r="E223" s="350" t="s">
        <v>92</v>
      </c>
      <c r="F223" s="216"/>
      <c r="G223" s="75">
        <f>G224+G225</f>
        <v>2915265</v>
      </c>
      <c r="H223" s="75">
        <f>H224+H225</f>
        <v>0</v>
      </c>
      <c r="I223" s="75">
        <f t="shared" si="6"/>
        <v>2915265</v>
      </c>
      <c r="J223" s="236">
        <f>J224+J225</f>
        <v>0</v>
      </c>
      <c r="K223" s="106"/>
      <c r="N223" s="114"/>
      <c r="O223" s="115"/>
    </row>
    <row r="224" spans="1:15" s="104" customFormat="1" ht="47.25" customHeight="1">
      <c r="A224" s="311" t="s">
        <v>772</v>
      </c>
      <c r="B224" s="311" t="s">
        <v>1071</v>
      </c>
      <c r="C224" s="263" t="s">
        <v>77</v>
      </c>
      <c r="D224" s="263" t="s">
        <v>439</v>
      </c>
      <c r="E224" s="350" t="s">
        <v>92</v>
      </c>
      <c r="F224" s="85" t="s">
        <v>1219</v>
      </c>
      <c r="G224" s="75">
        <v>699935</v>
      </c>
      <c r="H224" s="75"/>
      <c r="I224" s="75">
        <f t="shared" si="6"/>
        <v>699935</v>
      </c>
      <c r="J224" s="236"/>
      <c r="K224" s="106"/>
      <c r="N224" s="114"/>
      <c r="O224" s="115"/>
    </row>
    <row r="225" spans="1:15" s="104" customFormat="1" ht="47.25" customHeight="1">
      <c r="A225" s="311" t="s">
        <v>772</v>
      </c>
      <c r="B225" s="311" t="s">
        <v>1071</v>
      </c>
      <c r="C225" s="25" t="s">
        <v>77</v>
      </c>
      <c r="D225" s="25" t="s">
        <v>439</v>
      </c>
      <c r="E225" s="350" t="s">
        <v>92</v>
      </c>
      <c r="F225" s="85" t="s">
        <v>1220</v>
      </c>
      <c r="G225" s="301">
        <v>2215330</v>
      </c>
      <c r="H225" s="301"/>
      <c r="I225" s="301">
        <f t="shared" si="6"/>
        <v>2215330</v>
      </c>
      <c r="J225" s="236"/>
      <c r="K225" s="106"/>
      <c r="N225" s="114"/>
      <c r="O225" s="115"/>
    </row>
    <row r="226" spans="1:15" s="104" customFormat="1" ht="42.75" customHeight="1">
      <c r="A226" s="177"/>
      <c r="B226" s="283" t="s">
        <v>182</v>
      </c>
      <c r="C226" s="98" t="s">
        <v>182</v>
      </c>
      <c r="D226" s="198"/>
      <c r="E226" s="99" t="s">
        <v>515</v>
      </c>
      <c r="F226" s="85"/>
      <c r="G226" s="178">
        <f>G229</f>
        <v>0</v>
      </c>
      <c r="H226" s="178">
        <f>H229</f>
        <v>112200</v>
      </c>
      <c r="I226" s="178">
        <f t="shared" si="6"/>
        <v>112200</v>
      </c>
      <c r="J226" s="248">
        <f>J229</f>
        <v>0</v>
      </c>
      <c r="K226" s="106"/>
      <c r="N226" s="114"/>
      <c r="O226" s="115"/>
    </row>
    <row r="227" spans="1:15" s="104" customFormat="1" ht="15.75" customHeight="1">
      <c r="A227" s="25" t="s">
        <v>773</v>
      </c>
      <c r="B227" s="25"/>
      <c r="C227" s="25"/>
      <c r="D227" s="25"/>
      <c r="E227" s="212" t="s">
        <v>774</v>
      </c>
      <c r="F227" s="218"/>
      <c r="G227" s="178">
        <f>G228</f>
        <v>0</v>
      </c>
      <c r="H227" s="178">
        <f>H228</f>
        <v>112200</v>
      </c>
      <c r="I227" s="178">
        <f t="shared" si="6"/>
        <v>112200</v>
      </c>
      <c r="J227" s="248">
        <f>J228</f>
        <v>0</v>
      </c>
      <c r="K227" s="106"/>
      <c r="N227" s="114"/>
      <c r="O227" s="115"/>
    </row>
    <row r="228" spans="1:15" s="104" customFormat="1" ht="15.75" customHeight="1">
      <c r="A228" s="308" t="s">
        <v>775</v>
      </c>
      <c r="B228" s="308" t="s">
        <v>1060</v>
      </c>
      <c r="C228" s="309" t="s">
        <v>555</v>
      </c>
      <c r="D228" s="309"/>
      <c r="E228" s="280" t="s">
        <v>556</v>
      </c>
      <c r="F228" s="218"/>
      <c r="G228" s="220">
        <f>G229</f>
        <v>0</v>
      </c>
      <c r="H228" s="220">
        <f>H229</f>
        <v>112200</v>
      </c>
      <c r="I228" s="220">
        <f t="shared" si="6"/>
        <v>112200</v>
      </c>
      <c r="J228" s="143">
        <f>J229</f>
        <v>0</v>
      </c>
      <c r="K228" s="106"/>
      <c r="N228" s="114"/>
      <c r="O228" s="115"/>
    </row>
    <row r="229" spans="1:15" s="104" customFormat="1" ht="66" customHeight="1">
      <c r="A229" s="263" t="s">
        <v>776</v>
      </c>
      <c r="B229" s="263" t="s">
        <v>471</v>
      </c>
      <c r="C229" s="263" t="s">
        <v>165</v>
      </c>
      <c r="D229" s="263" t="s">
        <v>436</v>
      </c>
      <c r="E229" s="347" t="s">
        <v>777</v>
      </c>
      <c r="F229" s="405" t="s">
        <v>1276</v>
      </c>
      <c r="G229" s="301"/>
      <c r="H229" s="301">
        <f>1500000-1387800</f>
        <v>112200</v>
      </c>
      <c r="I229" s="301">
        <f t="shared" si="6"/>
        <v>112200</v>
      </c>
      <c r="J229" s="236"/>
      <c r="K229" s="106"/>
      <c r="N229" s="114"/>
      <c r="O229" s="115"/>
    </row>
    <row r="230" spans="1:14" s="104" customFormat="1" ht="60.75" customHeight="1">
      <c r="A230" s="98"/>
      <c r="B230" s="98" t="s">
        <v>145</v>
      </c>
      <c r="C230" s="98" t="s">
        <v>145</v>
      </c>
      <c r="D230" s="98"/>
      <c r="E230" s="99" t="s">
        <v>548</v>
      </c>
      <c r="F230" s="166"/>
      <c r="G230" s="220">
        <f>G231</f>
        <v>423736201</v>
      </c>
      <c r="H230" s="220">
        <f>H231</f>
        <v>597745486</v>
      </c>
      <c r="I230" s="220">
        <f t="shared" si="6"/>
        <v>1021481687</v>
      </c>
      <c r="J230" s="144">
        <f>J231</f>
        <v>0</v>
      </c>
      <c r="K230" s="113"/>
      <c r="N230" s="158"/>
    </row>
    <row r="231" spans="1:14" s="140" customFormat="1" ht="47.25">
      <c r="A231" s="25" t="s">
        <v>778</v>
      </c>
      <c r="B231" s="25"/>
      <c r="C231" s="25"/>
      <c r="D231" s="25"/>
      <c r="E231" s="212" t="s">
        <v>779</v>
      </c>
      <c r="F231" s="217"/>
      <c r="G231" s="83">
        <f>G232+G235+G246+G247+G252+G253+G256+G262</f>
        <v>423736201</v>
      </c>
      <c r="H231" s="83">
        <f>H232+H235+H246+H247+H252+H253+H256+H262</f>
        <v>597745486</v>
      </c>
      <c r="I231" s="83">
        <f t="shared" si="6"/>
        <v>1021481687</v>
      </c>
      <c r="J231" s="144">
        <f>J232+J235+J246+J247+J252+J253+J256+J262</f>
        <v>0</v>
      </c>
      <c r="K231" s="139"/>
      <c r="N231" s="141"/>
    </row>
    <row r="232" spans="1:14" s="140" customFormat="1" ht="15.75" customHeight="1">
      <c r="A232" s="308" t="s">
        <v>780</v>
      </c>
      <c r="B232" s="308" t="s">
        <v>1060</v>
      </c>
      <c r="C232" s="309" t="s">
        <v>555</v>
      </c>
      <c r="D232" s="309"/>
      <c r="E232" s="280" t="s">
        <v>556</v>
      </c>
      <c r="F232" s="217"/>
      <c r="G232" s="83">
        <f>G233+G234</f>
        <v>0</v>
      </c>
      <c r="H232" s="83">
        <f>H233+H234</f>
        <v>806216</v>
      </c>
      <c r="I232" s="83">
        <f t="shared" si="6"/>
        <v>806216</v>
      </c>
      <c r="J232" s="144">
        <f>J233</f>
        <v>0</v>
      </c>
      <c r="K232" s="139"/>
      <c r="N232" s="141"/>
    </row>
    <row r="233" spans="1:14" s="104" customFormat="1" ht="48" customHeight="1">
      <c r="A233" s="260" t="s">
        <v>781</v>
      </c>
      <c r="B233" s="260" t="s">
        <v>471</v>
      </c>
      <c r="C233" s="263" t="s">
        <v>165</v>
      </c>
      <c r="D233" s="260" t="s">
        <v>436</v>
      </c>
      <c r="E233" s="347" t="s">
        <v>782</v>
      </c>
      <c r="F233" s="405" t="s">
        <v>1266</v>
      </c>
      <c r="G233" s="371"/>
      <c r="H233" s="366">
        <f>291890+133652-27000+45200</f>
        <v>443742</v>
      </c>
      <c r="I233" s="366">
        <f t="shared" si="6"/>
        <v>443742</v>
      </c>
      <c r="J233" s="245"/>
      <c r="K233" s="106"/>
      <c r="N233" s="158"/>
    </row>
    <row r="234" spans="1:14" s="104" customFormat="1" ht="31.5" customHeight="1">
      <c r="A234" s="260" t="s">
        <v>781</v>
      </c>
      <c r="B234" s="260" t="s">
        <v>471</v>
      </c>
      <c r="C234" s="263" t="s">
        <v>165</v>
      </c>
      <c r="D234" s="260" t="s">
        <v>436</v>
      </c>
      <c r="E234" s="347" t="s">
        <v>782</v>
      </c>
      <c r="F234" s="396" t="s">
        <v>1212</v>
      </c>
      <c r="G234" s="366">
        <f>362474-362474</f>
        <v>0</v>
      </c>
      <c r="H234" s="366">
        <v>362474</v>
      </c>
      <c r="I234" s="366">
        <f t="shared" si="6"/>
        <v>362474</v>
      </c>
      <c r="J234" s="245"/>
      <c r="K234" s="106"/>
      <c r="N234" s="158"/>
    </row>
    <row r="235" spans="1:14" s="104" customFormat="1" ht="15.75" customHeight="1">
      <c r="A235" s="308" t="s">
        <v>783</v>
      </c>
      <c r="B235" s="308" t="s">
        <v>1146</v>
      </c>
      <c r="C235" s="308" t="s">
        <v>784</v>
      </c>
      <c r="D235" s="308"/>
      <c r="E235" s="280" t="s">
        <v>785</v>
      </c>
      <c r="F235" s="217"/>
      <c r="G235" s="381">
        <f>G236+G237+G238+G244</f>
        <v>24485826</v>
      </c>
      <c r="H235" s="381">
        <f>H236+H237+H238+H244</f>
        <v>500324709</v>
      </c>
      <c r="I235" s="381">
        <f>I236+I237+I238+I244</f>
        <v>524810535</v>
      </c>
      <c r="J235" s="245">
        <f>J236+J237+J238</f>
        <v>0</v>
      </c>
      <c r="K235" s="106"/>
      <c r="N235" s="158"/>
    </row>
    <row r="236" spans="1:15" s="104" customFormat="1" ht="47.25" customHeight="1">
      <c r="A236" s="260" t="s">
        <v>786</v>
      </c>
      <c r="B236" s="260" t="s">
        <v>1147</v>
      </c>
      <c r="C236" s="260" t="s">
        <v>216</v>
      </c>
      <c r="D236" s="260" t="s">
        <v>464</v>
      </c>
      <c r="E236" s="277" t="s">
        <v>787</v>
      </c>
      <c r="F236" s="405" t="s">
        <v>1266</v>
      </c>
      <c r="G236" s="75">
        <f>11559091+33000000+10000000-302861-25000000-10000000+198000+363190+62165+327652+46200+(63500)</f>
        <v>20316937</v>
      </c>
      <c r="H236" s="75"/>
      <c r="I236" s="75">
        <f t="shared" si="6"/>
        <v>20316937</v>
      </c>
      <c r="J236" s="236"/>
      <c r="K236" s="106"/>
      <c r="N236" s="114"/>
      <c r="O236" s="115"/>
    </row>
    <row r="237" spans="1:15" s="104" customFormat="1" ht="47.25">
      <c r="A237" s="260" t="s">
        <v>786</v>
      </c>
      <c r="B237" s="260" t="s">
        <v>1147</v>
      </c>
      <c r="C237" s="260" t="s">
        <v>216</v>
      </c>
      <c r="D237" s="260" t="s">
        <v>464</v>
      </c>
      <c r="E237" s="277" t="s">
        <v>787</v>
      </c>
      <c r="F237" s="100" t="s">
        <v>1280</v>
      </c>
      <c r="G237" s="365">
        <f>19955+6000+163860-100500+22200+48000+61555+7500+9100+181280+184450</f>
        <v>603400</v>
      </c>
      <c r="H237" s="365"/>
      <c r="I237" s="365">
        <f t="shared" si="6"/>
        <v>603400</v>
      </c>
      <c r="J237" s="238"/>
      <c r="K237" s="106"/>
      <c r="N237" s="114"/>
      <c r="O237" s="115"/>
    </row>
    <row r="238" spans="1:15" s="104" customFormat="1" ht="15.75" customHeight="1">
      <c r="A238" s="308" t="s">
        <v>788</v>
      </c>
      <c r="B238" s="308" t="s">
        <v>1148</v>
      </c>
      <c r="C238" s="308"/>
      <c r="D238" s="308"/>
      <c r="E238" s="352" t="s">
        <v>789</v>
      </c>
      <c r="F238" s="215"/>
      <c r="G238" s="381">
        <f>G239+G240+G241+G242+G243</f>
        <v>0</v>
      </c>
      <c r="H238" s="381">
        <f>H239+H240+H241+H242+H243</f>
        <v>498005493</v>
      </c>
      <c r="I238" s="381">
        <f t="shared" si="6"/>
        <v>498005493</v>
      </c>
      <c r="J238" s="238">
        <f>J239+J240+J241+J242+J243</f>
        <v>0</v>
      </c>
      <c r="K238" s="106"/>
      <c r="N238" s="114"/>
      <c r="O238" s="115"/>
    </row>
    <row r="239" spans="1:14" s="104" customFormat="1" ht="47.25" customHeight="1">
      <c r="A239" s="260" t="s">
        <v>790</v>
      </c>
      <c r="B239" s="260" t="s">
        <v>1149</v>
      </c>
      <c r="C239" s="260" t="s">
        <v>114</v>
      </c>
      <c r="D239" s="260" t="s">
        <v>464</v>
      </c>
      <c r="E239" s="411" t="s">
        <v>791</v>
      </c>
      <c r="F239" s="405" t="s">
        <v>1266</v>
      </c>
      <c r="G239" s="75"/>
      <c r="H239" s="75">
        <f>445000000-33000000-15000000+25000000-8536457+(402963)-8000000+679003-109819-17040-237996-4593136-5000000+130911+62960+10915925-2018469-9463376-46200+(152445)</f>
        <v>396321714</v>
      </c>
      <c r="I239" s="75">
        <f t="shared" si="6"/>
        <v>396321714</v>
      </c>
      <c r="J239" s="236"/>
      <c r="K239" s="113"/>
      <c r="N239" s="158"/>
    </row>
    <row r="240" spans="1:14" s="104" customFormat="1" ht="63" customHeight="1" hidden="1">
      <c r="A240" s="260" t="s">
        <v>790</v>
      </c>
      <c r="B240" s="260" t="s">
        <v>1149</v>
      </c>
      <c r="C240" s="260" t="s">
        <v>114</v>
      </c>
      <c r="D240" s="260" t="s">
        <v>464</v>
      </c>
      <c r="E240" s="411" t="s">
        <v>791</v>
      </c>
      <c r="F240" s="287" t="s">
        <v>1177</v>
      </c>
      <c r="G240" s="75"/>
      <c r="H240" s="75"/>
      <c r="I240" s="75">
        <f t="shared" si="6"/>
        <v>0</v>
      </c>
      <c r="J240" s="236"/>
      <c r="K240" s="113"/>
      <c r="N240" s="158"/>
    </row>
    <row r="241" spans="1:14" s="104" customFormat="1" ht="47.25">
      <c r="A241" s="263" t="s">
        <v>790</v>
      </c>
      <c r="B241" s="263" t="s">
        <v>1149</v>
      </c>
      <c r="C241" s="263" t="s">
        <v>114</v>
      </c>
      <c r="D241" s="263" t="s">
        <v>464</v>
      </c>
      <c r="E241" s="421" t="s">
        <v>791</v>
      </c>
      <c r="F241" s="100" t="s">
        <v>1280</v>
      </c>
      <c r="G241" s="75"/>
      <c r="H241" s="75">
        <f>76280-6000+13200+100500+24000+271000+379000+488486+99000-90+190975-20000+58000+10000+330240+420800</f>
        <v>2435391</v>
      </c>
      <c r="I241" s="75">
        <f t="shared" si="6"/>
        <v>2435391</v>
      </c>
      <c r="J241" s="236"/>
      <c r="K241" s="106"/>
      <c r="N241" s="158"/>
    </row>
    <row r="242" spans="1:14" s="104" customFormat="1" ht="51.75" customHeight="1">
      <c r="A242" s="260" t="s">
        <v>792</v>
      </c>
      <c r="B242" s="260" t="s">
        <v>1150</v>
      </c>
      <c r="C242" s="260" t="s">
        <v>260</v>
      </c>
      <c r="D242" s="263" t="s">
        <v>464</v>
      </c>
      <c r="E242" s="411" t="s">
        <v>261</v>
      </c>
      <c r="F242" s="405" t="s">
        <v>1266</v>
      </c>
      <c r="G242" s="75"/>
      <c r="H242" s="75">
        <f>32000000+28000000+30000000+1680319-62960+62960+296000+4900962+(1486705)</f>
        <v>98363986</v>
      </c>
      <c r="I242" s="75">
        <f t="shared" si="6"/>
        <v>98363986</v>
      </c>
      <c r="J242" s="236"/>
      <c r="K242" s="113"/>
      <c r="N242" s="158"/>
    </row>
    <row r="243" spans="1:14" s="104" customFormat="1" ht="51.75" customHeight="1">
      <c r="A243" s="260" t="s">
        <v>792</v>
      </c>
      <c r="B243" s="260" t="s">
        <v>1150</v>
      </c>
      <c r="C243" s="260" t="s">
        <v>260</v>
      </c>
      <c r="D243" s="263" t="s">
        <v>464</v>
      </c>
      <c r="E243" s="411" t="s">
        <v>261</v>
      </c>
      <c r="F243" s="100" t="s">
        <v>1280</v>
      </c>
      <c r="G243" s="75"/>
      <c r="H243" s="75">
        <f>17312+35000+134500+6000+110201+24559+18000+41000+36000+20000+9300+202000+192530+38000</f>
        <v>884402</v>
      </c>
      <c r="I243" s="75">
        <f>G243+H243</f>
        <v>884402</v>
      </c>
      <c r="J243" s="236"/>
      <c r="K243" s="113"/>
      <c r="N243" s="158"/>
    </row>
    <row r="244" spans="1:14" s="104" customFormat="1" ht="51.75" customHeight="1">
      <c r="A244" s="260" t="s">
        <v>1234</v>
      </c>
      <c r="B244" s="260" t="s">
        <v>1235</v>
      </c>
      <c r="C244" s="260"/>
      <c r="D244" s="420"/>
      <c r="E244" s="277" t="s">
        <v>1236</v>
      </c>
      <c r="F244" s="405" t="s">
        <v>1266</v>
      </c>
      <c r="G244" s="75">
        <f>G245</f>
        <v>3565489</v>
      </c>
      <c r="H244" s="75">
        <f>H245</f>
        <v>2319216</v>
      </c>
      <c r="I244" s="75">
        <f>G244+H244</f>
        <v>5884705</v>
      </c>
      <c r="J244" s="236"/>
      <c r="K244" s="113"/>
      <c r="N244" s="158"/>
    </row>
    <row r="245" spans="1:14" s="104" customFormat="1" ht="51.75" customHeight="1">
      <c r="A245" s="260" t="s">
        <v>1237</v>
      </c>
      <c r="B245" s="260" t="s">
        <v>1238</v>
      </c>
      <c r="C245" s="260"/>
      <c r="D245" s="263" t="s">
        <v>465</v>
      </c>
      <c r="E245" s="411" t="s">
        <v>1239</v>
      </c>
      <c r="F245" s="405" t="s">
        <v>1266</v>
      </c>
      <c r="G245" s="75">
        <f>3846164-280675</f>
        <v>3565489</v>
      </c>
      <c r="H245" s="75">
        <f>2038541+280675</f>
        <v>2319216</v>
      </c>
      <c r="I245" s="75">
        <f>G245+H245</f>
        <v>5884705</v>
      </c>
      <c r="J245" s="236"/>
      <c r="K245" s="113"/>
      <c r="N245" s="158"/>
    </row>
    <row r="246" spans="1:15" s="104" customFormat="1" ht="48.75" customHeight="1">
      <c r="A246" s="263" t="s">
        <v>793</v>
      </c>
      <c r="B246" s="263" t="s">
        <v>1151</v>
      </c>
      <c r="C246" s="263" t="s">
        <v>513</v>
      </c>
      <c r="D246" s="263" t="s">
        <v>465</v>
      </c>
      <c r="E246" s="276" t="s">
        <v>514</v>
      </c>
      <c r="F246" s="405" t="s">
        <v>1266</v>
      </c>
      <c r="G246" s="75"/>
      <c r="H246" s="75">
        <f>8536457-3960250+142593</f>
        <v>4718800</v>
      </c>
      <c r="I246" s="75">
        <f t="shared" si="6"/>
        <v>4718800</v>
      </c>
      <c r="J246" s="236"/>
      <c r="K246" s="113"/>
      <c r="N246" s="114"/>
      <c r="O246" s="115"/>
    </row>
    <row r="247" spans="1:15" s="104" customFormat="1" ht="15.75" customHeight="1">
      <c r="A247" s="308" t="s">
        <v>794</v>
      </c>
      <c r="B247" s="308" t="s">
        <v>1065</v>
      </c>
      <c r="C247" s="308" t="s">
        <v>568</v>
      </c>
      <c r="D247" s="352"/>
      <c r="E247" s="281" t="s">
        <v>688</v>
      </c>
      <c r="F247" s="219"/>
      <c r="G247" s="83">
        <f>G248+G249+G250</f>
        <v>0</v>
      </c>
      <c r="H247" s="83">
        <f>H248+H249+H250</f>
        <v>59774026</v>
      </c>
      <c r="I247" s="83">
        <f aca="true" t="shared" si="7" ref="I247:I331">G247+H247</f>
        <v>59774026</v>
      </c>
      <c r="J247" s="236">
        <f>J248+J249+J250</f>
        <v>0</v>
      </c>
      <c r="K247" s="113"/>
      <c r="N247" s="114"/>
      <c r="O247" s="115"/>
    </row>
    <row r="248" spans="1:14" s="104" customFormat="1" ht="51" customHeight="1">
      <c r="A248" s="260" t="s">
        <v>795</v>
      </c>
      <c r="B248" s="260" t="s">
        <v>1066</v>
      </c>
      <c r="C248" s="260" t="s">
        <v>84</v>
      </c>
      <c r="D248" s="439" t="s">
        <v>438</v>
      </c>
      <c r="E248" s="443" t="s">
        <v>571</v>
      </c>
      <c r="F248" s="405" t="s">
        <v>1266</v>
      </c>
      <c r="G248" s="305"/>
      <c r="H248" s="305">
        <f>60632283+3620619-8719162+422839-4324804-1733624+9188600</f>
        <v>59086751</v>
      </c>
      <c r="I248" s="305">
        <f t="shared" si="7"/>
        <v>59086751</v>
      </c>
      <c r="J248" s="241"/>
      <c r="K248" s="113"/>
      <c r="N248" s="158"/>
    </row>
    <row r="249" spans="1:14" s="104" customFormat="1" ht="31.5" customHeight="1" hidden="1">
      <c r="A249" s="260" t="s">
        <v>795</v>
      </c>
      <c r="B249" s="260" t="s">
        <v>1066</v>
      </c>
      <c r="C249" s="260" t="s">
        <v>84</v>
      </c>
      <c r="D249" s="440"/>
      <c r="E249" s="444"/>
      <c r="F249" s="100" t="s">
        <v>1280</v>
      </c>
      <c r="G249" s="305"/>
      <c r="H249" s="305"/>
      <c r="I249" s="305">
        <f t="shared" si="7"/>
        <v>0</v>
      </c>
      <c r="J249" s="241"/>
      <c r="K249" s="106"/>
      <c r="N249" s="158"/>
    </row>
    <row r="250" spans="1:14" s="104" customFormat="1" ht="15.75" customHeight="1">
      <c r="A250" s="263" t="s">
        <v>796</v>
      </c>
      <c r="B250" s="263" t="s">
        <v>1152</v>
      </c>
      <c r="C250" s="263"/>
      <c r="D250" s="263"/>
      <c r="E250" s="276" t="s">
        <v>797</v>
      </c>
      <c r="F250" s="215"/>
      <c r="G250" s="305">
        <f>G251</f>
        <v>0</v>
      </c>
      <c r="H250" s="305">
        <f>H251</f>
        <v>687275</v>
      </c>
      <c r="I250" s="305">
        <f t="shared" si="7"/>
        <v>687275</v>
      </c>
      <c r="J250" s="241">
        <f>J251</f>
        <v>0</v>
      </c>
      <c r="K250" s="106"/>
      <c r="N250" s="158"/>
    </row>
    <row r="251" spans="1:14" s="104" customFormat="1" ht="55.5" customHeight="1">
      <c r="A251" s="263" t="s">
        <v>798</v>
      </c>
      <c r="B251" s="263" t="s">
        <v>1153</v>
      </c>
      <c r="C251" s="263" t="s">
        <v>39</v>
      </c>
      <c r="D251" s="263" t="s">
        <v>448</v>
      </c>
      <c r="E251" s="347" t="s">
        <v>799</v>
      </c>
      <c r="F251" s="405" t="s">
        <v>1266</v>
      </c>
      <c r="G251" s="305"/>
      <c r="H251" s="305">
        <v>687275</v>
      </c>
      <c r="I251" s="305">
        <f t="shared" si="7"/>
        <v>687275</v>
      </c>
      <c r="J251" s="241"/>
      <c r="K251" s="106"/>
      <c r="N251" s="158"/>
    </row>
    <row r="252" spans="1:14" s="104" customFormat="1" ht="55.5" customHeight="1">
      <c r="A252" s="308" t="s">
        <v>800</v>
      </c>
      <c r="B252" s="308" t="s">
        <v>1154</v>
      </c>
      <c r="C252" s="352" t="s">
        <v>99</v>
      </c>
      <c r="D252" s="352" t="s">
        <v>465</v>
      </c>
      <c r="E252" s="281" t="s">
        <v>801</v>
      </c>
      <c r="F252" s="405" t="s">
        <v>1266</v>
      </c>
      <c r="G252" s="83"/>
      <c r="H252" s="83">
        <f>1000000-1000000</f>
        <v>0</v>
      </c>
      <c r="I252" s="83">
        <f t="shared" si="7"/>
        <v>0</v>
      </c>
      <c r="J252" s="241"/>
      <c r="K252" s="106"/>
      <c r="N252" s="158"/>
    </row>
    <row r="253" spans="1:14" s="104" customFormat="1" ht="15.75" customHeight="1">
      <c r="A253" s="308" t="s">
        <v>802</v>
      </c>
      <c r="B253" s="308" t="s">
        <v>1068</v>
      </c>
      <c r="C253" s="308" t="s">
        <v>565</v>
      </c>
      <c r="D253" s="352"/>
      <c r="E253" s="281" t="s">
        <v>566</v>
      </c>
      <c r="F253" s="339"/>
      <c r="G253" s="83">
        <f>G254+G255</f>
        <v>0</v>
      </c>
      <c r="H253" s="83">
        <f>H254+H255</f>
        <v>31514813</v>
      </c>
      <c r="I253" s="83">
        <f t="shared" si="7"/>
        <v>31514813</v>
      </c>
      <c r="J253" s="236">
        <f>J254+J255</f>
        <v>0</v>
      </c>
      <c r="K253" s="106"/>
      <c r="N253" s="158"/>
    </row>
    <row r="254" spans="1:14" s="104" customFormat="1" ht="47.25" customHeight="1">
      <c r="A254" s="260" t="s">
        <v>803</v>
      </c>
      <c r="B254" s="260" t="s">
        <v>1069</v>
      </c>
      <c r="C254" s="260" t="s">
        <v>98</v>
      </c>
      <c r="D254" s="439" t="s">
        <v>438</v>
      </c>
      <c r="E254" s="443" t="s">
        <v>804</v>
      </c>
      <c r="F254" s="405" t="s">
        <v>1241</v>
      </c>
      <c r="G254" s="372"/>
      <c r="H254" s="372">
        <f>59800427-15015228-2376945-22752827+606300+10173000-134962+1968820-426120-327652</f>
        <v>31514813</v>
      </c>
      <c r="I254" s="372">
        <f t="shared" si="7"/>
        <v>31514813</v>
      </c>
      <c r="J254" s="114"/>
      <c r="K254" s="113"/>
      <c r="N254" s="158"/>
    </row>
    <row r="255" spans="1:14" s="104" customFormat="1" ht="54" customHeight="1" hidden="1">
      <c r="A255" s="260" t="s">
        <v>803</v>
      </c>
      <c r="B255" s="260" t="s">
        <v>1069</v>
      </c>
      <c r="C255" s="260" t="s">
        <v>98</v>
      </c>
      <c r="D255" s="440"/>
      <c r="E255" s="444"/>
      <c r="F255" s="100" t="s">
        <v>1280</v>
      </c>
      <c r="G255" s="365"/>
      <c r="H255" s="365"/>
      <c r="I255" s="365">
        <f t="shared" si="7"/>
        <v>0</v>
      </c>
      <c r="J255" s="238"/>
      <c r="K255" s="106"/>
      <c r="N255" s="158"/>
    </row>
    <row r="256" spans="1:14" s="104" customFormat="1" ht="15.75" customHeight="1">
      <c r="A256" s="308" t="s">
        <v>805</v>
      </c>
      <c r="B256" s="308" t="s">
        <v>1070</v>
      </c>
      <c r="C256" s="308" t="s">
        <v>580</v>
      </c>
      <c r="D256" s="352"/>
      <c r="E256" s="281" t="s">
        <v>581</v>
      </c>
      <c r="F256" s="339"/>
      <c r="G256" s="83">
        <f>G257</f>
        <v>399250375</v>
      </c>
      <c r="H256" s="83">
        <f>H257</f>
        <v>556922</v>
      </c>
      <c r="I256" s="83">
        <f t="shared" si="7"/>
        <v>399807297</v>
      </c>
      <c r="J256" s="238">
        <f>J257</f>
        <v>0</v>
      </c>
      <c r="K256" s="106"/>
      <c r="N256" s="158"/>
    </row>
    <row r="257" spans="1:14" s="104" customFormat="1" ht="15.75" customHeight="1" hidden="1">
      <c r="A257" s="311" t="s">
        <v>806</v>
      </c>
      <c r="B257" s="311" t="s">
        <v>1071</v>
      </c>
      <c r="C257" s="311" t="s">
        <v>77</v>
      </c>
      <c r="D257" s="311"/>
      <c r="E257" s="350" t="s">
        <v>92</v>
      </c>
      <c r="F257" s="219"/>
      <c r="G257" s="75">
        <f>G258+G259+G260+G261</f>
        <v>399250375</v>
      </c>
      <c r="H257" s="75">
        <f>H258+H259+H260+H261</f>
        <v>556922</v>
      </c>
      <c r="I257" s="75">
        <f t="shared" si="7"/>
        <v>399807297</v>
      </c>
      <c r="J257" s="236">
        <f>J258+J259+J260+J261</f>
        <v>0</v>
      </c>
      <c r="K257" s="113"/>
      <c r="N257" s="158"/>
    </row>
    <row r="258" spans="1:15" s="104" customFormat="1" ht="48.75" customHeight="1">
      <c r="A258" s="311" t="s">
        <v>806</v>
      </c>
      <c r="B258" s="311" t="s">
        <v>1071</v>
      </c>
      <c r="C258" s="101" t="s">
        <v>77</v>
      </c>
      <c r="D258" s="101" t="s">
        <v>439</v>
      </c>
      <c r="E258" s="382" t="s">
        <v>92</v>
      </c>
      <c r="F258" s="412" t="s">
        <v>1241</v>
      </c>
      <c r="G258" s="75">
        <f>400000000-30000000-22400000+123504-10978885+274776</f>
        <v>337019395</v>
      </c>
      <c r="H258" s="75">
        <f>391526-391526</f>
        <v>0</v>
      </c>
      <c r="I258" s="75">
        <f t="shared" si="7"/>
        <v>337019395</v>
      </c>
      <c r="J258" s="236"/>
      <c r="K258" s="113"/>
      <c r="N258" s="114"/>
      <c r="O258" s="115"/>
    </row>
    <row r="259" spans="1:14" s="104" customFormat="1" ht="66.75" customHeight="1">
      <c r="A259" s="311" t="s">
        <v>806</v>
      </c>
      <c r="B259" s="311" t="s">
        <v>1071</v>
      </c>
      <c r="C259" s="101" t="s">
        <v>77</v>
      </c>
      <c r="D259" s="101" t="s">
        <v>439</v>
      </c>
      <c r="E259" s="382" t="s">
        <v>92</v>
      </c>
      <c r="F259" s="412" t="s">
        <v>1242</v>
      </c>
      <c r="G259" s="75">
        <f>29607232+72600+1791117+29520563</f>
        <v>60991512</v>
      </c>
      <c r="H259" s="75">
        <f>165396+391526</f>
        <v>556922</v>
      </c>
      <c r="I259" s="75">
        <f t="shared" si="7"/>
        <v>61548434</v>
      </c>
      <c r="J259" s="236"/>
      <c r="K259" s="106"/>
      <c r="N259" s="158"/>
    </row>
    <row r="260" spans="1:14" s="104" customFormat="1" ht="112.5" customHeight="1">
      <c r="A260" s="311" t="s">
        <v>806</v>
      </c>
      <c r="B260" s="311" t="s">
        <v>1071</v>
      </c>
      <c r="C260" s="263" t="s">
        <v>77</v>
      </c>
      <c r="D260" s="25" t="s">
        <v>439</v>
      </c>
      <c r="E260" s="382" t="s">
        <v>92</v>
      </c>
      <c r="F260" s="404" t="s">
        <v>1221</v>
      </c>
      <c r="G260" s="75">
        <f>375403+864065</f>
        <v>1239468</v>
      </c>
      <c r="H260" s="75"/>
      <c r="I260" s="75">
        <f t="shared" si="7"/>
        <v>1239468</v>
      </c>
      <c r="J260" s="236"/>
      <c r="K260" s="106"/>
      <c r="N260" s="158"/>
    </row>
    <row r="261" spans="1:14" s="104" customFormat="1" ht="47.25" customHeight="1" hidden="1">
      <c r="A261" s="263" t="s">
        <v>807</v>
      </c>
      <c r="B261" s="263" t="s">
        <v>1073</v>
      </c>
      <c r="C261" s="263" t="s">
        <v>77</v>
      </c>
      <c r="D261" s="338"/>
      <c r="E261" s="343"/>
      <c r="F261" s="100" t="s">
        <v>1280</v>
      </c>
      <c r="G261" s="84"/>
      <c r="H261" s="84"/>
      <c r="I261" s="84">
        <f t="shared" si="7"/>
        <v>0</v>
      </c>
      <c r="J261" s="249"/>
      <c r="K261" s="106"/>
      <c r="N261" s="158"/>
    </row>
    <row r="262" spans="1:14" s="104" customFormat="1" ht="15.75" customHeight="1">
      <c r="A262" s="308" t="s">
        <v>808</v>
      </c>
      <c r="B262" s="308" t="s">
        <v>1076</v>
      </c>
      <c r="C262" s="308" t="s">
        <v>574</v>
      </c>
      <c r="D262" s="308"/>
      <c r="E262" s="351" t="s">
        <v>575</v>
      </c>
      <c r="F262" s="100"/>
      <c r="G262" s="84">
        <f>G263</f>
        <v>0</v>
      </c>
      <c r="H262" s="305">
        <f>H263</f>
        <v>50000</v>
      </c>
      <c r="I262" s="305">
        <f t="shared" si="7"/>
        <v>50000</v>
      </c>
      <c r="J262" s="249">
        <f>J263</f>
        <v>0</v>
      </c>
      <c r="K262" s="106"/>
      <c r="N262" s="158"/>
    </row>
    <row r="263" spans="1:14" s="104" customFormat="1" ht="47.25" customHeight="1">
      <c r="A263" s="263" t="s">
        <v>809</v>
      </c>
      <c r="B263" s="263" t="s">
        <v>1093</v>
      </c>
      <c r="C263" s="263" t="s">
        <v>29</v>
      </c>
      <c r="D263" s="263" t="s">
        <v>447</v>
      </c>
      <c r="E263" s="276" t="s">
        <v>106</v>
      </c>
      <c r="F263" s="412" t="s">
        <v>1243</v>
      </c>
      <c r="G263" s="84"/>
      <c r="H263" s="305">
        <f>50000</f>
        <v>50000</v>
      </c>
      <c r="I263" s="305">
        <f t="shared" si="7"/>
        <v>50000</v>
      </c>
      <c r="J263" s="249"/>
      <c r="K263" s="106"/>
      <c r="N263" s="158"/>
    </row>
    <row r="264" spans="1:14" s="104" customFormat="1" ht="47.25" customHeight="1">
      <c r="A264" s="231"/>
      <c r="B264" s="99">
        <v>41</v>
      </c>
      <c r="C264" s="98" t="s">
        <v>223</v>
      </c>
      <c r="D264" s="98"/>
      <c r="E264" s="99" t="s">
        <v>523</v>
      </c>
      <c r="F264" s="100"/>
      <c r="G264" s="83">
        <f>G265</f>
        <v>439923189</v>
      </c>
      <c r="H264" s="83">
        <f>H265</f>
        <v>320258653</v>
      </c>
      <c r="I264" s="83">
        <f t="shared" si="7"/>
        <v>760181842</v>
      </c>
      <c r="J264" s="144">
        <f>J265</f>
        <v>0</v>
      </c>
      <c r="K264" s="106"/>
      <c r="N264" s="158"/>
    </row>
    <row r="265" spans="1:14" s="104" customFormat="1" ht="33" customHeight="1">
      <c r="A265" s="25" t="s">
        <v>810</v>
      </c>
      <c r="B265" s="25"/>
      <c r="C265" s="25"/>
      <c r="D265" s="25"/>
      <c r="E265" s="212" t="s">
        <v>811</v>
      </c>
      <c r="F265" s="215"/>
      <c r="G265" s="83">
        <f>G266+G269+G274+G278+G281+G283+G285+G289</f>
        <v>439923189</v>
      </c>
      <c r="H265" s="83">
        <f>H266+H269+H274+H278+H281+H283+H285+H289</f>
        <v>320258653</v>
      </c>
      <c r="I265" s="83">
        <f t="shared" si="7"/>
        <v>760181842</v>
      </c>
      <c r="J265" s="144">
        <f>J266+J269+J274+J278+J281+J283+J285+J289</f>
        <v>0</v>
      </c>
      <c r="K265" s="106"/>
      <c r="N265" s="158"/>
    </row>
    <row r="266" spans="1:14" s="104" customFormat="1" ht="15.75" customHeight="1">
      <c r="A266" s="308" t="s">
        <v>812</v>
      </c>
      <c r="B266" s="308" t="s">
        <v>1060</v>
      </c>
      <c r="C266" s="309" t="s">
        <v>555</v>
      </c>
      <c r="D266" s="309"/>
      <c r="E266" s="280" t="s">
        <v>556</v>
      </c>
      <c r="F266" s="215"/>
      <c r="G266" s="83">
        <f>G267+G268</f>
        <v>549196</v>
      </c>
      <c r="H266" s="83">
        <f>H267+H268</f>
        <v>1204178</v>
      </c>
      <c r="I266" s="83">
        <f t="shared" si="7"/>
        <v>1753374</v>
      </c>
      <c r="J266" s="144">
        <f>J267</f>
        <v>0</v>
      </c>
      <c r="K266" s="106"/>
      <c r="N266" s="158"/>
    </row>
    <row r="267" spans="1:14" s="104" customFormat="1" ht="47.25" customHeight="1">
      <c r="A267" s="263" t="s">
        <v>813</v>
      </c>
      <c r="B267" s="263" t="s">
        <v>471</v>
      </c>
      <c r="C267" s="263" t="s">
        <v>165</v>
      </c>
      <c r="D267" s="263" t="s">
        <v>436</v>
      </c>
      <c r="E267" s="347" t="s">
        <v>814</v>
      </c>
      <c r="F267" s="405" t="s">
        <v>1251</v>
      </c>
      <c r="G267" s="84"/>
      <c r="H267" s="382">
        <f>350000+457034</f>
        <v>807034</v>
      </c>
      <c r="I267" s="382">
        <f t="shared" si="7"/>
        <v>807034</v>
      </c>
      <c r="J267" s="249"/>
      <c r="K267" s="106"/>
      <c r="N267" s="158"/>
    </row>
    <row r="268" spans="1:14" s="104" customFormat="1" ht="31.5">
      <c r="A268" s="263" t="s">
        <v>813</v>
      </c>
      <c r="B268" s="263" t="s">
        <v>471</v>
      </c>
      <c r="C268" s="263" t="s">
        <v>165</v>
      </c>
      <c r="D268" s="263" t="s">
        <v>436</v>
      </c>
      <c r="E268" s="347" t="s">
        <v>814</v>
      </c>
      <c r="F268" s="396" t="s">
        <v>1212</v>
      </c>
      <c r="G268" s="382">
        <f>1094306-397144-147966</f>
        <v>549196</v>
      </c>
      <c r="H268" s="382">
        <v>397144</v>
      </c>
      <c r="I268" s="382">
        <f t="shared" si="7"/>
        <v>946340</v>
      </c>
      <c r="J268" s="249"/>
      <c r="K268" s="106"/>
      <c r="N268" s="158"/>
    </row>
    <row r="269" spans="1:14" s="104" customFormat="1" ht="15.75" customHeight="1">
      <c r="A269" s="308" t="s">
        <v>815</v>
      </c>
      <c r="B269" s="308" t="s">
        <v>1087</v>
      </c>
      <c r="C269" s="308" t="s">
        <v>612</v>
      </c>
      <c r="D269" s="308"/>
      <c r="E269" s="281" t="s">
        <v>613</v>
      </c>
      <c r="F269" s="221"/>
      <c r="G269" s="383">
        <f>G270+G271</f>
        <v>343000</v>
      </c>
      <c r="H269" s="383">
        <f>H270+H271</f>
        <v>0</v>
      </c>
      <c r="I269" s="383">
        <f t="shared" si="7"/>
        <v>343000</v>
      </c>
      <c r="J269" s="249">
        <f>J270+J271</f>
        <v>0</v>
      </c>
      <c r="K269" s="106"/>
      <c r="N269" s="158"/>
    </row>
    <row r="270" spans="1:14" s="104" customFormat="1" ht="15.75" customHeight="1" hidden="1">
      <c r="A270" s="263" t="s">
        <v>816</v>
      </c>
      <c r="B270" s="263" t="s">
        <v>1089</v>
      </c>
      <c r="C270" s="263" t="s">
        <v>494</v>
      </c>
      <c r="D270" s="263" t="s">
        <v>495</v>
      </c>
      <c r="E270" s="276" t="s">
        <v>496</v>
      </c>
      <c r="F270" s="221"/>
      <c r="G270" s="382"/>
      <c r="H270" s="382"/>
      <c r="I270" s="382">
        <f t="shared" si="7"/>
        <v>0</v>
      </c>
      <c r="J270" s="249"/>
      <c r="K270" s="106"/>
      <c r="N270" s="158"/>
    </row>
    <row r="271" spans="1:14" s="104" customFormat="1" ht="15.75" customHeight="1" hidden="1">
      <c r="A271" s="311" t="s">
        <v>817</v>
      </c>
      <c r="B271" s="311" t="s">
        <v>1131</v>
      </c>
      <c r="C271" s="311" t="s">
        <v>86</v>
      </c>
      <c r="D271" s="311"/>
      <c r="E271" s="354" t="s">
        <v>93</v>
      </c>
      <c r="F271" s="221"/>
      <c r="G271" s="366">
        <f>G272+G273</f>
        <v>343000</v>
      </c>
      <c r="H271" s="366">
        <f>H272+H273</f>
        <v>0</v>
      </c>
      <c r="I271" s="366">
        <f t="shared" si="7"/>
        <v>343000</v>
      </c>
      <c r="J271" s="250">
        <f>J272+J273</f>
        <v>0</v>
      </c>
      <c r="K271" s="106"/>
      <c r="N271" s="158"/>
    </row>
    <row r="272" spans="1:14" s="104" customFormat="1" ht="25.5" customHeight="1" hidden="1">
      <c r="A272" s="311" t="s">
        <v>817</v>
      </c>
      <c r="B272" s="311" t="s">
        <v>1131</v>
      </c>
      <c r="C272" s="263" t="s">
        <v>86</v>
      </c>
      <c r="D272" s="263"/>
      <c r="E272" s="354" t="s">
        <v>93</v>
      </c>
      <c r="F272" s="221"/>
      <c r="G272" s="84"/>
      <c r="H272" s="84"/>
      <c r="I272" s="84">
        <f t="shared" si="7"/>
        <v>0</v>
      </c>
      <c r="J272" s="249"/>
      <c r="K272" s="106"/>
      <c r="N272" s="158"/>
    </row>
    <row r="273" spans="1:14" s="104" customFormat="1" ht="47.25" customHeight="1">
      <c r="A273" s="311" t="s">
        <v>817</v>
      </c>
      <c r="B273" s="311" t="s">
        <v>1131</v>
      </c>
      <c r="C273" s="263" t="s">
        <v>86</v>
      </c>
      <c r="D273" s="263" t="s">
        <v>457</v>
      </c>
      <c r="E273" s="354" t="s">
        <v>93</v>
      </c>
      <c r="F273" s="405" t="s">
        <v>1251</v>
      </c>
      <c r="G273" s="75">
        <f>295000+48000</f>
        <v>343000</v>
      </c>
      <c r="H273" s="75"/>
      <c r="I273" s="75">
        <f t="shared" si="7"/>
        <v>343000</v>
      </c>
      <c r="J273" s="236"/>
      <c r="K273" s="106"/>
      <c r="N273" s="158"/>
    </row>
    <row r="274" spans="1:14" s="104" customFormat="1" ht="15.75" customHeight="1">
      <c r="A274" s="308" t="s">
        <v>818</v>
      </c>
      <c r="B274" s="308" t="s">
        <v>1146</v>
      </c>
      <c r="C274" s="308" t="s">
        <v>784</v>
      </c>
      <c r="D274" s="308"/>
      <c r="E274" s="280" t="s">
        <v>785</v>
      </c>
      <c r="F274" s="221"/>
      <c r="G274" s="83">
        <f>G275+G276+G277</f>
        <v>139947463</v>
      </c>
      <c r="H274" s="83">
        <f>H275+H276+H277</f>
        <v>9497248</v>
      </c>
      <c r="I274" s="83">
        <f t="shared" si="7"/>
        <v>149444711</v>
      </c>
      <c r="J274" s="236">
        <f>J275+J276+J277</f>
        <v>0</v>
      </c>
      <c r="K274" s="106"/>
      <c r="N274" s="158"/>
    </row>
    <row r="275" spans="1:14" s="104" customFormat="1" ht="47.25" customHeight="1">
      <c r="A275" s="394" t="s">
        <v>819</v>
      </c>
      <c r="B275" s="260" t="s">
        <v>1155</v>
      </c>
      <c r="C275" s="260" t="s">
        <v>94</v>
      </c>
      <c r="D275" s="263" t="s">
        <v>465</v>
      </c>
      <c r="E275" s="328" t="s">
        <v>95</v>
      </c>
      <c r="F275" s="405" t="s">
        <v>1251</v>
      </c>
      <c r="G275" s="366">
        <f>115449432+270000-36547+23388112-270000-487861+175000+(420000)</f>
        <v>138908136</v>
      </c>
      <c r="H275" s="366">
        <f>6160729+(280000)-800000-280000+3188301+827000-640645+270000+487861</f>
        <v>9493246</v>
      </c>
      <c r="I275" s="366">
        <f t="shared" si="7"/>
        <v>148401382</v>
      </c>
      <c r="J275" s="251"/>
      <c r="K275" s="106"/>
      <c r="N275" s="158"/>
    </row>
    <row r="276" spans="1:14" s="104" customFormat="1" ht="47.25" customHeight="1">
      <c r="A276" s="394" t="s">
        <v>819</v>
      </c>
      <c r="B276" s="260" t="s">
        <v>1155</v>
      </c>
      <c r="C276" s="260" t="s">
        <v>94</v>
      </c>
      <c r="D276" s="263" t="s">
        <v>465</v>
      </c>
      <c r="E276" s="328" t="s">
        <v>95</v>
      </c>
      <c r="F276" s="100" t="s">
        <v>1280</v>
      </c>
      <c r="G276" s="365">
        <f>22232+22000+46200+12200</f>
        <v>102632</v>
      </c>
      <c r="H276" s="365">
        <v>4002</v>
      </c>
      <c r="I276" s="365">
        <f t="shared" si="7"/>
        <v>106634</v>
      </c>
      <c r="J276" s="238"/>
      <c r="K276" s="106"/>
      <c r="N276" s="158"/>
    </row>
    <row r="277" spans="1:14" s="104" customFormat="1" ht="47.25" customHeight="1">
      <c r="A277" s="394" t="s">
        <v>819</v>
      </c>
      <c r="B277" s="391" t="s">
        <v>1155</v>
      </c>
      <c r="C277" s="391" t="s">
        <v>94</v>
      </c>
      <c r="D277" s="391" t="s">
        <v>465</v>
      </c>
      <c r="E277" s="328" t="s">
        <v>95</v>
      </c>
      <c r="F277" s="85" t="s">
        <v>1219</v>
      </c>
      <c r="G277" s="75">
        <v>936695</v>
      </c>
      <c r="H277" s="75"/>
      <c r="I277" s="75">
        <f t="shared" si="7"/>
        <v>936695</v>
      </c>
      <c r="J277" s="236"/>
      <c r="K277" s="106"/>
      <c r="N277" s="158"/>
    </row>
    <row r="278" spans="1:14" s="104" customFormat="1" ht="15.75">
      <c r="A278" s="308" t="s">
        <v>820</v>
      </c>
      <c r="B278" s="308" t="s">
        <v>1065</v>
      </c>
      <c r="C278" s="308" t="s">
        <v>568</v>
      </c>
      <c r="D278" s="308"/>
      <c r="E278" s="281" t="s">
        <v>688</v>
      </c>
      <c r="F278" s="218"/>
      <c r="G278" s="83">
        <f>G279+G280</f>
        <v>0</v>
      </c>
      <c r="H278" s="83">
        <f>H279+H280</f>
        <v>104430549</v>
      </c>
      <c r="I278" s="83">
        <f t="shared" si="7"/>
        <v>104430549</v>
      </c>
      <c r="J278" s="236">
        <f>J279+J280</f>
        <v>0</v>
      </c>
      <c r="K278" s="106"/>
      <c r="N278" s="158"/>
    </row>
    <row r="279" spans="1:14" s="104" customFormat="1" ht="47.25" customHeight="1">
      <c r="A279" s="260" t="s">
        <v>821</v>
      </c>
      <c r="B279" s="260" t="s">
        <v>1066</v>
      </c>
      <c r="C279" s="260" t="s">
        <v>84</v>
      </c>
      <c r="D279" s="439" t="s">
        <v>438</v>
      </c>
      <c r="E279" s="277" t="s">
        <v>571</v>
      </c>
      <c r="F279" s="405" t="s">
        <v>1251</v>
      </c>
      <c r="G279" s="382"/>
      <c r="H279" s="382">
        <f>104962905-1532293+(877500)+31462-124457-877500+984893+136166-1874425+602089-8836867+877083-2450000-209076+11723069+(140000)</f>
        <v>104430549</v>
      </c>
      <c r="I279" s="382">
        <f t="shared" si="7"/>
        <v>104430549</v>
      </c>
      <c r="J279" s="249"/>
      <c r="K279" s="106"/>
      <c r="N279" s="158"/>
    </row>
    <row r="280" spans="1:14" s="104" customFormat="1" ht="47.25" customHeight="1" hidden="1">
      <c r="A280" s="260" t="s">
        <v>821</v>
      </c>
      <c r="B280" s="260" t="s">
        <v>1066</v>
      </c>
      <c r="C280" s="260" t="s">
        <v>84</v>
      </c>
      <c r="D280" s="440"/>
      <c r="E280" s="277" t="s">
        <v>571</v>
      </c>
      <c r="F280" s="100" t="s">
        <v>1280</v>
      </c>
      <c r="G280" s="84"/>
      <c r="H280" s="84"/>
      <c r="I280" s="84">
        <f t="shared" si="7"/>
        <v>0</v>
      </c>
      <c r="J280" s="249"/>
      <c r="K280" s="106"/>
      <c r="N280" s="158"/>
    </row>
    <row r="281" spans="1:14" s="104" customFormat="1" ht="47.25" customHeight="1">
      <c r="A281" s="308" t="s">
        <v>822</v>
      </c>
      <c r="B281" s="308" t="s">
        <v>1156</v>
      </c>
      <c r="C281" s="308" t="s">
        <v>823</v>
      </c>
      <c r="D281" s="308"/>
      <c r="E281" s="281" t="s">
        <v>824</v>
      </c>
      <c r="F281" s="215"/>
      <c r="G281" s="383">
        <f>G282</f>
        <v>297456814</v>
      </c>
      <c r="H281" s="383">
        <f>H282</f>
        <v>180608329</v>
      </c>
      <c r="I281" s="383">
        <f t="shared" si="7"/>
        <v>478065143</v>
      </c>
      <c r="J281" s="249">
        <f>J282</f>
        <v>0</v>
      </c>
      <c r="K281" s="106"/>
      <c r="N281" s="158"/>
    </row>
    <row r="282" spans="1:14" s="104" customFormat="1" ht="47.25" customHeight="1">
      <c r="A282" s="263" t="s">
        <v>1021</v>
      </c>
      <c r="B282" s="263" t="s">
        <v>1157</v>
      </c>
      <c r="C282" s="263">
        <v>170703</v>
      </c>
      <c r="D282" s="198" t="s">
        <v>466</v>
      </c>
      <c r="E282" s="276" t="s">
        <v>1026</v>
      </c>
      <c r="F282" s="405" t="s">
        <v>1251</v>
      </c>
      <c r="G282" s="305">
        <f>274027093-5683925-771700+29885346</f>
        <v>297456814</v>
      </c>
      <c r="H282" s="305">
        <f>192147458+987450-508360-66674-8073731-2600000-31462-70184+91464-887891-19200000+19000000-179741</f>
        <v>180608329</v>
      </c>
      <c r="I282" s="305">
        <f t="shared" si="7"/>
        <v>478065143</v>
      </c>
      <c r="J282" s="241"/>
      <c r="K282" s="106"/>
      <c r="N282" s="158"/>
    </row>
    <row r="283" spans="1:14" s="104" customFormat="1" ht="15.75" customHeight="1">
      <c r="A283" s="308" t="s">
        <v>825</v>
      </c>
      <c r="B283" s="308" t="s">
        <v>1068</v>
      </c>
      <c r="C283" s="308" t="s">
        <v>565</v>
      </c>
      <c r="D283" s="308"/>
      <c r="E283" s="281" t="s">
        <v>566</v>
      </c>
      <c r="F283" s="221"/>
      <c r="G283" s="384">
        <f>G284</f>
        <v>0</v>
      </c>
      <c r="H283" s="384">
        <f>H284</f>
        <v>14593349</v>
      </c>
      <c r="I283" s="384">
        <f t="shared" si="7"/>
        <v>14593349</v>
      </c>
      <c r="J283" s="236">
        <f>J284</f>
        <v>0</v>
      </c>
      <c r="K283" s="106"/>
      <c r="N283" s="158"/>
    </row>
    <row r="284" spans="1:14" s="104" customFormat="1" ht="47.25" customHeight="1">
      <c r="A284" s="263" t="s">
        <v>1022</v>
      </c>
      <c r="B284" s="263" t="s">
        <v>1069</v>
      </c>
      <c r="C284" s="263" t="s">
        <v>98</v>
      </c>
      <c r="D284" s="337" t="s">
        <v>438</v>
      </c>
      <c r="E284" s="159" t="s">
        <v>804</v>
      </c>
      <c r="F284" s="405" t="s">
        <v>1251</v>
      </c>
      <c r="G284" s="372"/>
      <c r="H284" s="372">
        <f>10000000+2600000+1298604+254762+440000-17</f>
        <v>14593349</v>
      </c>
      <c r="I284" s="372">
        <f t="shared" si="7"/>
        <v>14593349</v>
      </c>
      <c r="J284" s="114"/>
      <c r="K284" s="106"/>
      <c r="N284" s="158"/>
    </row>
    <row r="285" spans="1:14" s="104" customFormat="1" ht="15.75">
      <c r="A285" s="308" t="s">
        <v>826</v>
      </c>
      <c r="B285" s="308" t="s">
        <v>1070</v>
      </c>
      <c r="C285" s="308" t="s">
        <v>580</v>
      </c>
      <c r="D285" s="308"/>
      <c r="E285" s="281" t="s">
        <v>581</v>
      </c>
      <c r="F285" s="221"/>
      <c r="G285" s="385">
        <f>G286</f>
        <v>1626716</v>
      </c>
      <c r="H285" s="385">
        <f>H286</f>
        <v>0</v>
      </c>
      <c r="I285" s="385">
        <f t="shared" si="7"/>
        <v>1626716</v>
      </c>
      <c r="J285" s="114">
        <f>J286</f>
        <v>0</v>
      </c>
      <c r="K285" s="106"/>
      <c r="N285" s="158"/>
    </row>
    <row r="286" spans="1:14" s="104" customFormat="1" ht="15.75" hidden="1">
      <c r="A286" s="311" t="s">
        <v>827</v>
      </c>
      <c r="B286" s="311" t="s">
        <v>1071</v>
      </c>
      <c r="C286" s="311" t="s">
        <v>77</v>
      </c>
      <c r="D286" s="311"/>
      <c r="E286" s="350" t="s">
        <v>92</v>
      </c>
      <c r="F286" s="221"/>
      <c r="G286" s="372">
        <f>G287+G288</f>
        <v>1626716</v>
      </c>
      <c r="H286" s="372">
        <f>H287+H288</f>
        <v>0</v>
      </c>
      <c r="I286" s="372">
        <f t="shared" si="7"/>
        <v>1626716</v>
      </c>
      <c r="J286" s="114">
        <f>J287+J288</f>
        <v>0</v>
      </c>
      <c r="K286" s="106"/>
      <c r="N286" s="158"/>
    </row>
    <row r="287" spans="1:14" s="104" customFormat="1" ht="47.25" customHeight="1">
      <c r="A287" s="311" t="s">
        <v>827</v>
      </c>
      <c r="B287" s="263" t="s">
        <v>1071</v>
      </c>
      <c r="C287" s="263" t="s">
        <v>77</v>
      </c>
      <c r="D287" s="263" t="s">
        <v>439</v>
      </c>
      <c r="E287" s="350" t="s">
        <v>92</v>
      </c>
      <c r="F287" s="405" t="s">
        <v>1251</v>
      </c>
      <c r="G287" s="372">
        <f>534916+384800+67000+640000</f>
        <v>1626716</v>
      </c>
      <c r="H287" s="372"/>
      <c r="I287" s="372">
        <f t="shared" si="7"/>
        <v>1626716</v>
      </c>
      <c r="J287" s="114"/>
      <c r="K287" s="106"/>
      <c r="N287" s="158"/>
    </row>
    <row r="288" spans="1:14" s="104" customFormat="1" ht="47.25" customHeight="1" hidden="1">
      <c r="A288" s="263" t="s">
        <v>828</v>
      </c>
      <c r="B288" s="263" t="s">
        <v>1158</v>
      </c>
      <c r="C288" s="263" t="s">
        <v>77</v>
      </c>
      <c r="D288" s="263" t="s">
        <v>439</v>
      </c>
      <c r="E288" s="347" t="s">
        <v>1178</v>
      </c>
      <c r="F288" s="405" t="s">
        <v>1251</v>
      </c>
      <c r="G288" s="372"/>
      <c r="H288" s="372"/>
      <c r="I288" s="372">
        <f t="shared" si="7"/>
        <v>0</v>
      </c>
      <c r="J288" s="114"/>
      <c r="K288" s="106"/>
      <c r="N288" s="158"/>
    </row>
    <row r="289" spans="1:14" s="104" customFormat="1" ht="15.75" customHeight="1">
      <c r="A289" s="308" t="s">
        <v>829</v>
      </c>
      <c r="B289" s="308" t="s">
        <v>1076</v>
      </c>
      <c r="C289" s="308" t="s">
        <v>574</v>
      </c>
      <c r="D289" s="308"/>
      <c r="E289" s="281" t="s">
        <v>575</v>
      </c>
      <c r="F289" s="221"/>
      <c r="G289" s="384">
        <f>G290</f>
        <v>0</v>
      </c>
      <c r="H289" s="384">
        <f>H290</f>
        <v>9925000</v>
      </c>
      <c r="I289" s="384">
        <f t="shared" si="7"/>
        <v>9925000</v>
      </c>
      <c r="J289" s="114">
        <f>J290</f>
        <v>0</v>
      </c>
      <c r="K289" s="106"/>
      <c r="N289" s="158"/>
    </row>
    <row r="290" spans="1:14" s="104" customFormat="1" ht="56.25" customHeight="1">
      <c r="A290" s="263" t="s">
        <v>830</v>
      </c>
      <c r="B290" s="263" t="s">
        <v>1093</v>
      </c>
      <c r="C290" s="263" t="s">
        <v>29</v>
      </c>
      <c r="D290" s="263" t="s">
        <v>447</v>
      </c>
      <c r="E290" s="276" t="s">
        <v>106</v>
      </c>
      <c r="F290" s="412" t="s">
        <v>1243</v>
      </c>
      <c r="G290" s="305"/>
      <c r="H290" s="305">
        <f>1000000+4870000+2300000+25000-4870000+6600000</f>
        <v>9925000</v>
      </c>
      <c r="I290" s="305">
        <f t="shared" si="7"/>
        <v>9925000</v>
      </c>
      <c r="J290" s="241"/>
      <c r="K290" s="106"/>
      <c r="N290" s="158"/>
    </row>
    <row r="291" spans="1:14" s="104" customFormat="1" ht="31.5" customHeight="1" hidden="1">
      <c r="A291" s="98"/>
      <c r="B291" s="98" t="s">
        <v>146</v>
      </c>
      <c r="C291" s="98" t="s">
        <v>146</v>
      </c>
      <c r="D291" s="98"/>
      <c r="E291" s="99" t="s">
        <v>53</v>
      </c>
      <c r="F291" s="166"/>
      <c r="G291" s="83">
        <f>G292</f>
        <v>0</v>
      </c>
      <c r="H291" s="83">
        <f>H292</f>
        <v>0</v>
      </c>
      <c r="I291" s="83">
        <f t="shared" si="7"/>
        <v>0</v>
      </c>
      <c r="J291" s="144">
        <f>J292</f>
        <v>0</v>
      </c>
      <c r="K291" s="113"/>
      <c r="N291" s="158"/>
    </row>
    <row r="292" spans="1:14" s="104" customFormat="1" ht="25.5" customHeight="1" hidden="1">
      <c r="A292" s="25" t="s">
        <v>831</v>
      </c>
      <c r="B292" s="25"/>
      <c r="C292" s="25"/>
      <c r="D292" s="25"/>
      <c r="E292" s="348" t="s">
        <v>53</v>
      </c>
      <c r="F292" s="202"/>
      <c r="G292" s="83">
        <f>G293+G295</f>
        <v>0</v>
      </c>
      <c r="H292" s="83">
        <f>H293+H295</f>
        <v>0</v>
      </c>
      <c r="I292" s="83">
        <f t="shared" si="7"/>
        <v>0</v>
      </c>
      <c r="J292" s="144">
        <f>J293+J295</f>
        <v>0</v>
      </c>
      <c r="K292" s="113"/>
      <c r="N292" s="158"/>
    </row>
    <row r="293" spans="1:14" s="104" customFormat="1" ht="15.75" customHeight="1" hidden="1">
      <c r="A293" s="308" t="s">
        <v>832</v>
      </c>
      <c r="B293" s="308" t="s">
        <v>1060</v>
      </c>
      <c r="C293" s="309" t="s">
        <v>555</v>
      </c>
      <c r="D293" s="309"/>
      <c r="E293" s="353" t="s">
        <v>556</v>
      </c>
      <c r="F293" s="203"/>
      <c r="G293" s="83">
        <f>G294</f>
        <v>0</v>
      </c>
      <c r="H293" s="83">
        <f>H294</f>
        <v>0</v>
      </c>
      <c r="I293" s="83">
        <f t="shared" si="7"/>
        <v>0</v>
      </c>
      <c r="J293" s="144">
        <f>J294</f>
        <v>0</v>
      </c>
      <c r="K293" s="113"/>
      <c r="N293" s="158"/>
    </row>
    <row r="294" spans="1:14" s="104" customFormat="1" ht="25.5" customHeight="1" hidden="1">
      <c r="A294" s="263" t="s">
        <v>833</v>
      </c>
      <c r="B294" s="263" t="s">
        <v>471</v>
      </c>
      <c r="C294" s="263" t="s">
        <v>165</v>
      </c>
      <c r="D294" s="263" t="s">
        <v>436</v>
      </c>
      <c r="E294" s="347" t="s">
        <v>834</v>
      </c>
      <c r="F294" s="204"/>
      <c r="G294" s="75"/>
      <c r="H294" s="75"/>
      <c r="I294" s="75">
        <f t="shared" si="7"/>
        <v>0</v>
      </c>
      <c r="J294" s="236"/>
      <c r="K294" s="113"/>
      <c r="N294" s="158"/>
    </row>
    <row r="295" spans="1:14" s="104" customFormat="1" ht="15.75" customHeight="1" hidden="1">
      <c r="A295" s="308" t="s">
        <v>835</v>
      </c>
      <c r="B295" s="308" t="s">
        <v>1070</v>
      </c>
      <c r="C295" s="308" t="s">
        <v>580</v>
      </c>
      <c r="D295" s="308"/>
      <c r="E295" s="352" t="s">
        <v>581</v>
      </c>
      <c r="F295" s="205"/>
      <c r="G295" s="75">
        <f>G296</f>
        <v>0</v>
      </c>
      <c r="H295" s="75">
        <f>H296</f>
        <v>0</v>
      </c>
      <c r="I295" s="75">
        <f t="shared" si="7"/>
        <v>0</v>
      </c>
      <c r="J295" s="236">
        <f>J296</f>
        <v>0</v>
      </c>
      <c r="K295" s="113"/>
      <c r="N295" s="158"/>
    </row>
    <row r="296" spans="1:14" s="104" customFormat="1" ht="15.75" customHeight="1" hidden="1">
      <c r="A296" s="310" t="s">
        <v>836</v>
      </c>
      <c r="B296" s="310" t="s">
        <v>1071</v>
      </c>
      <c r="C296" s="310" t="s">
        <v>77</v>
      </c>
      <c r="D296" s="310"/>
      <c r="E296" s="355" t="s">
        <v>92</v>
      </c>
      <c r="F296" s="226"/>
      <c r="G296" s="75">
        <f>G297</f>
        <v>0</v>
      </c>
      <c r="H296" s="75">
        <f>H297</f>
        <v>0</v>
      </c>
      <c r="I296" s="75">
        <f t="shared" si="7"/>
        <v>0</v>
      </c>
      <c r="J296" s="236">
        <f>J297</f>
        <v>0</v>
      </c>
      <c r="K296" s="113"/>
      <c r="N296" s="158"/>
    </row>
    <row r="297" spans="1:15" s="104" customFormat="1" ht="38.25" customHeight="1" hidden="1">
      <c r="A297" s="263" t="s">
        <v>837</v>
      </c>
      <c r="B297" s="263" t="s">
        <v>1073</v>
      </c>
      <c r="C297" s="263" t="s">
        <v>77</v>
      </c>
      <c r="D297" s="263" t="s">
        <v>439</v>
      </c>
      <c r="E297" s="347" t="s">
        <v>584</v>
      </c>
      <c r="F297" s="204"/>
      <c r="G297" s="75"/>
      <c r="H297" s="75"/>
      <c r="I297" s="75">
        <f t="shared" si="7"/>
        <v>0</v>
      </c>
      <c r="J297" s="236"/>
      <c r="K297" s="106"/>
      <c r="N297" s="114"/>
      <c r="O297" s="115"/>
    </row>
    <row r="298" spans="1:14" s="104" customFormat="1" ht="31.5" customHeight="1">
      <c r="A298" s="98"/>
      <c r="B298" s="98" t="s">
        <v>150</v>
      </c>
      <c r="C298" s="98" t="s">
        <v>150</v>
      </c>
      <c r="D298" s="98"/>
      <c r="E298" s="99" t="s">
        <v>55</v>
      </c>
      <c r="F298" s="166"/>
      <c r="G298" s="83">
        <f>G299</f>
        <v>969400</v>
      </c>
      <c r="H298" s="83">
        <f>H299</f>
        <v>4144990</v>
      </c>
      <c r="I298" s="83">
        <f t="shared" si="7"/>
        <v>5114390</v>
      </c>
      <c r="J298" s="144">
        <f>J299</f>
        <v>0</v>
      </c>
      <c r="K298" s="106"/>
      <c r="N298" s="158"/>
    </row>
    <row r="299" spans="1:14" s="104" customFormat="1" ht="30" customHeight="1">
      <c r="A299" s="25" t="s">
        <v>838</v>
      </c>
      <c r="B299" s="25"/>
      <c r="C299" s="25"/>
      <c r="D299" s="25"/>
      <c r="E299" s="212" t="s">
        <v>55</v>
      </c>
      <c r="F299" s="222"/>
      <c r="G299" s="83">
        <f>G300+G302+G303</f>
        <v>969400</v>
      </c>
      <c r="H299" s="83">
        <f>H300+H302+H303</f>
        <v>4144990</v>
      </c>
      <c r="I299" s="83">
        <f t="shared" si="7"/>
        <v>5114390</v>
      </c>
      <c r="J299" s="144">
        <f>J300+J302+J303</f>
        <v>0</v>
      </c>
      <c r="K299" s="106"/>
      <c r="N299" s="158"/>
    </row>
    <row r="300" spans="1:14" s="104" customFormat="1" ht="15.75" customHeight="1" hidden="1">
      <c r="A300" s="308" t="s">
        <v>839</v>
      </c>
      <c r="B300" s="308" t="s">
        <v>1060</v>
      </c>
      <c r="C300" s="309" t="s">
        <v>555</v>
      </c>
      <c r="D300" s="309"/>
      <c r="E300" s="353" t="s">
        <v>556</v>
      </c>
      <c r="F300" s="222"/>
      <c r="G300" s="83">
        <f>G301</f>
        <v>0</v>
      </c>
      <c r="H300" s="83">
        <f>H301</f>
        <v>0</v>
      </c>
      <c r="I300" s="83">
        <f t="shared" si="7"/>
        <v>0</v>
      </c>
      <c r="J300" s="144">
        <f>J301</f>
        <v>0</v>
      </c>
      <c r="K300" s="106"/>
      <c r="N300" s="158"/>
    </row>
    <row r="301" spans="1:14" s="104" customFormat="1" ht="49.5" customHeight="1" hidden="1">
      <c r="A301" s="263" t="s">
        <v>840</v>
      </c>
      <c r="B301" s="263" t="s">
        <v>471</v>
      </c>
      <c r="C301" s="263" t="s">
        <v>165</v>
      </c>
      <c r="D301" s="263" t="s">
        <v>436</v>
      </c>
      <c r="E301" s="347" t="s">
        <v>841</v>
      </c>
      <c r="F301" s="171" t="s">
        <v>489</v>
      </c>
      <c r="G301" s="75"/>
      <c r="H301" s="75"/>
      <c r="I301" s="75">
        <f t="shared" si="7"/>
        <v>0</v>
      </c>
      <c r="J301" s="236"/>
      <c r="K301" s="113"/>
      <c r="N301" s="158"/>
    </row>
    <row r="302" spans="1:14" s="104" customFormat="1" ht="47.25" customHeight="1">
      <c r="A302" s="308" t="s">
        <v>842</v>
      </c>
      <c r="B302" s="308" t="s">
        <v>1159</v>
      </c>
      <c r="C302" s="308" t="s">
        <v>390</v>
      </c>
      <c r="D302" s="308" t="s">
        <v>467</v>
      </c>
      <c r="E302" s="281" t="s">
        <v>395</v>
      </c>
      <c r="F302" s="231" t="s">
        <v>489</v>
      </c>
      <c r="G302" s="83"/>
      <c r="H302" s="83">
        <f>2357560+596830+420600</f>
        <v>3374990</v>
      </c>
      <c r="I302" s="83">
        <f t="shared" si="7"/>
        <v>3374990</v>
      </c>
      <c r="J302" s="236"/>
      <c r="K302" s="106"/>
      <c r="N302" s="158"/>
    </row>
    <row r="303" spans="1:14" s="104" customFormat="1" ht="15.75" customHeight="1">
      <c r="A303" s="308" t="s">
        <v>843</v>
      </c>
      <c r="B303" s="308" t="s">
        <v>1070</v>
      </c>
      <c r="C303" s="308" t="s">
        <v>580</v>
      </c>
      <c r="D303" s="308"/>
      <c r="E303" s="281" t="s">
        <v>581</v>
      </c>
      <c r="F303" s="222"/>
      <c r="G303" s="83">
        <f>G304</f>
        <v>969400</v>
      </c>
      <c r="H303" s="83">
        <f>H304</f>
        <v>770000</v>
      </c>
      <c r="I303" s="83">
        <f t="shared" si="7"/>
        <v>1739400</v>
      </c>
      <c r="J303" s="236">
        <f>J304</f>
        <v>0</v>
      </c>
      <c r="K303" s="106"/>
      <c r="N303" s="158"/>
    </row>
    <row r="304" spans="1:14" s="104" customFormat="1" ht="15.75" customHeight="1" hidden="1">
      <c r="A304" s="311" t="s">
        <v>844</v>
      </c>
      <c r="B304" s="311" t="s">
        <v>1071</v>
      </c>
      <c r="C304" s="311" t="s">
        <v>77</v>
      </c>
      <c r="D304" s="311"/>
      <c r="E304" s="333" t="s">
        <v>92</v>
      </c>
      <c r="F304" s="222"/>
      <c r="G304" s="75">
        <f>G305+G306</f>
        <v>969400</v>
      </c>
      <c r="H304" s="75">
        <f>H305+H306</f>
        <v>770000</v>
      </c>
      <c r="I304" s="75">
        <f t="shared" si="7"/>
        <v>1739400</v>
      </c>
      <c r="J304" s="236">
        <f>J305+J306</f>
        <v>0</v>
      </c>
      <c r="K304" s="106"/>
      <c r="N304" s="158"/>
    </row>
    <row r="305" spans="1:15" s="104" customFormat="1" ht="47.25" customHeight="1">
      <c r="A305" s="311" t="s">
        <v>844</v>
      </c>
      <c r="B305" s="311" t="s">
        <v>1071</v>
      </c>
      <c r="C305" s="263" t="s">
        <v>77</v>
      </c>
      <c r="D305" s="263" t="s">
        <v>439</v>
      </c>
      <c r="E305" s="333" t="s">
        <v>92</v>
      </c>
      <c r="F305" s="231" t="s">
        <v>489</v>
      </c>
      <c r="G305" s="367">
        <f>1390000-420600</f>
        <v>969400</v>
      </c>
      <c r="H305" s="367">
        <v>770000</v>
      </c>
      <c r="I305" s="367">
        <f t="shared" si="7"/>
        <v>1739400</v>
      </c>
      <c r="J305" s="242"/>
      <c r="K305" s="113"/>
      <c r="N305" s="114"/>
      <c r="O305" s="115"/>
    </row>
    <row r="306" spans="1:14" s="104" customFormat="1" ht="63.75" customHeight="1" hidden="1">
      <c r="A306" s="25" t="s">
        <v>845</v>
      </c>
      <c r="B306" s="25" t="s">
        <v>1072</v>
      </c>
      <c r="C306" s="25" t="s">
        <v>77</v>
      </c>
      <c r="D306" s="25"/>
      <c r="E306" s="9" t="s">
        <v>583</v>
      </c>
      <c r="F306" s="166" t="s">
        <v>208</v>
      </c>
      <c r="G306" s="367"/>
      <c r="H306" s="367"/>
      <c r="I306" s="367">
        <f t="shared" si="7"/>
        <v>0</v>
      </c>
      <c r="J306" s="242"/>
      <c r="K306" s="106"/>
      <c r="N306" s="158"/>
    </row>
    <row r="307" spans="1:14" s="104" customFormat="1" ht="47.25" customHeight="1">
      <c r="A307" s="185"/>
      <c r="B307" s="284">
        <v>49</v>
      </c>
      <c r="C307" s="98" t="s">
        <v>520</v>
      </c>
      <c r="D307" s="198"/>
      <c r="E307" s="99" t="s">
        <v>521</v>
      </c>
      <c r="F307" s="184"/>
      <c r="G307" s="83">
        <f aca="true" t="shared" si="8" ref="G307:J309">G308</f>
        <v>0</v>
      </c>
      <c r="H307" s="83">
        <f t="shared" si="8"/>
        <v>51972</v>
      </c>
      <c r="I307" s="83">
        <f t="shared" si="7"/>
        <v>51972</v>
      </c>
      <c r="J307" s="144">
        <f t="shared" si="8"/>
        <v>0</v>
      </c>
      <c r="K307" s="106"/>
      <c r="N307" s="158"/>
    </row>
    <row r="308" spans="1:14" s="104" customFormat="1" ht="31.5">
      <c r="A308" s="25" t="s">
        <v>846</v>
      </c>
      <c r="B308" s="25"/>
      <c r="C308" s="25"/>
      <c r="D308" s="25"/>
      <c r="E308" s="347" t="s">
        <v>847</v>
      </c>
      <c r="F308" s="223"/>
      <c r="G308" s="83">
        <f t="shared" si="8"/>
        <v>0</v>
      </c>
      <c r="H308" s="83">
        <f t="shared" si="8"/>
        <v>51972</v>
      </c>
      <c r="I308" s="83">
        <f t="shared" si="7"/>
        <v>51972</v>
      </c>
      <c r="J308" s="144">
        <f t="shared" si="8"/>
        <v>0</v>
      </c>
      <c r="K308" s="106"/>
      <c r="N308" s="158"/>
    </row>
    <row r="309" spans="1:14" s="104" customFormat="1" ht="15.75" customHeight="1">
      <c r="A309" s="308" t="s">
        <v>848</v>
      </c>
      <c r="B309" s="308" t="s">
        <v>1060</v>
      </c>
      <c r="C309" s="309" t="s">
        <v>555</v>
      </c>
      <c r="D309" s="309"/>
      <c r="E309" s="353" t="s">
        <v>556</v>
      </c>
      <c r="F309" s="223"/>
      <c r="G309" s="83">
        <f t="shared" si="8"/>
        <v>0</v>
      </c>
      <c r="H309" s="83">
        <f t="shared" si="8"/>
        <v>51972</v>
      </c>
      <c r="I309" s="83">
        <f t="shared" si="7"/>
        <v>51972</v>
      </c>
      <c r="J309" s="144">
        <f t="shared" si="8"/>
        <v>0</v>
      </c>
      <c r="K309" s="106"/>
      <c r="N309" s="158"/>
    </row>
    <row r="310" spans="1:14" s="104" customFormat="1" ht="47.25" customHeight="1">
      <c r="A310" s="263" t="s">
        <v>849</v>
      </c>
      <c r="B310" s="263" t="s">
        <v>471</v>
      </c>
      <c r="C310" s="263" t="s">
        <v>165</v>
      </c>
      <c r="D310" s="263" t="s">
        <v>436</v>
      </c>
      <c r="E310" s="347" t="s">
        <v>850</v>
      </c>
      <c r="F310" s="405" t="s">
        <v>1276</v>
      </c>
      <c r="G310" s="367"/>
      <c r="H310" s="367">
        <v>51972</v>
      </c>
      <c r="I310" s="367">
        <f t="shared" si="7"/>
        <v>51972</v>
      </c>
      <c r="J310" s="242"/>
      <c r="K310" s="106"/>
      <c r="N310" s="158"/>
    </row>
    <row r="311" spans="1:14" s="104" customFormat="1" ht="31.5" customHeight="1">
      <c r="A311" s="185"/>
      <c r="B311" s="284">
        <v>50</v>
      </c>
      <c r="C311" s="98">
        <v>50</v>
      </c>
      <c r="D311" s="198"/>
      <c r="E311" s="99" t="s">
        <v>186</v>
      </c>
      <c r="F311" s="97"/>
      <c r="G311" s="83">
        <f>G312</f>
        <v>600369</v>
      </c>
      <c r="H311" s="83">
        <f aca="true" t="shared" si="9" ref="G311:J313">H312</f>
        <v>461300</v>
      </c>
      <c r="I311" s="83">
        <f t="shared" si="7"/>
        <v>1061669</v>
      </c>
      <c r="J311" s="144">
        <f t="shared" si="9"/>
        <v>0</v>
      </c>
      <c r="K311" s="106"/>
      <c r="N311" s="158"/>
    </row>
    <row r="312" spans="1:14" s="104" customFormat="1" ht="15.75" customHeight="1">
      <c r="A312" s="25" t="s">
        <v>851</v>
      </c>
      <c r="B312" s="25"/>
      <c r="C312" s="25"/>
      <c r="D312" s="25"/>
      <c r="E312" s="348" t="s">
        <v>186</v>
      </c>
      <c r="F312" s="227"/>
      <c r="G312" s="83">
        <f>G313+G315+G317</f>
        <v>600369</v>
      </c>
      <c r="H312" s="83">
        <f>H313+H315+H317</f>
        <v>461300</v>
      </c>
      <c r="I312" s="83">
        <f t="shared" si="7"/>
        <v>1061669</v>
      </c>
      <c r="J312" s="144">
        <f t="shared" si="9"/>
        <v>0</v>
      </c>
      <c r="K312" s="106"/>
      <c r="N312" s="158"/>
    </row>
    <row r="313" spans="1:14" s="104" customFormat="1" ht="15.75" customHeight="1">
      <c r="A313" s="308" t="s">
        <v>852</v>
      </c>
      <c r="B313" s="308" t="s">
        <v>1060</v>
      </c>
      <c r="C313" s="309" t="s">
        <v>555</v>
      </c>
      <c r="D313" s="309"/>
      <c r="E313" s="353" t="s">
        <v>556</v>
      </c>
      <c r="F313" s="227"/>
      <c r="G313" s="83">
        <f t="shared" si="9"/>
        <v>0</v>
      </c>
      <c r="H313" s="83">
        <f t="shared" si="9"/>
        <v>0</v>
      </c>
      <c r="I313" s="83">
        <f t="shared" si="7"/>
        <v>0</v>
      </c>
      <c r="J313" s="144">
        <f t="shared" si="9"/>
        <v>0</v>
      </c>
      <c r="K313" s="106"/>
      <c r="N313" s="158"/>
    </row>
    <row r="314" spans="1:14" s="104" customFormat="1" ht="47.25" customHeight="1">
      <c r="A314" s="263" t="s">
        <v>853</v>
      </c>
      <c r="B314" s="263" t="s">
        <v>471</v>
      </c>
      <c r="C314" s="263" t="s">
        <v>165</v>
      </c>
      <c r="D314" s="263" t="s">
        <v>436</v>
      </c>
      <c r="E314" s="347" t="s">
        <v>854</v>
      </c>
      <c r="F314" s="405" t="s">
        <v>1276</v>
      </c>
      <c r="G314" s="367"/>
      <c r="H314" s="367"/>
      <c r="I314" s="367">
        <f t="shared" si="7"/>
        <v>0</v>
      </c>
      <c r="J314" s="242"/>
      <c r="K314" s="106"/>
      <c r="N314" s="158"/>
    </row>
    <row r="315" spans="1:14" s="104" customFormat="1" ht="15.75" customHeight="1">
      <c r="A315" s="308" t="s">
        <v>1292</v>
      </c>
      <c r="B315" s="308" t="s">
        <v>1146</v>
      </c>
      <c r="C315" s="308" t="s">
        <v>784</v>
      </c>
      <c r="D315" s="308"/>
      <c r="E315" s="281" t="s">
        <v>785</v>
      </c>
      <c r="F315" s="412"/>
      <c r="G315" s="83">
        <f>G316</f>
        <v>600369</v>
      </c>
      <c r="H315" s="83">
        <f>H316</f>
        <v>0</v>
      </c>
      <c r="I315" s="83">
        <f t="shared" si="7"/>
        <v>600369</v>
      </c>
      <c r="J315" s="236"/>
      <c r="K315" s="106"/>
      <c r="N315" s="158"/>
    </row>
    <row r="316" spans="1:14" s="104" customFormat="1" ht="47.25" customHeight="1">
      <c r="A316" s="263" t="s">
        <v>1291</v>
      </c>
      <c r="B316" s="263" t="s">
        <v>1290</v>
      </c>
      <c r="C316" s="263"/>
      <c r="D316" s="263" t="s">
        <v>465</v>
      </c>
      <c r="E316" s="347" t="s">
        <v>1293</v>
      </c>
      <c r="F316" s="405" t="s">
        <v>1304</v>
      </c>
      <c r="G316" s="367">
        <v>600369</v>
      </c>
      <c r="H316" s="367"/>
      <c r="I316" s="367">
        <f t="shared" si="7"/>
        <v>600369</v>
      </c>
      <c r="J316" s="242"/>
      <c r="K316" s="106"/>
      <c r="N316" s="158"/>
    </row>
    <row r="317" spans="1:14" s="104" customFormat="1" ht="15.75" customHeight="1">
      <c r="A317" s="308" t="s">
        <v>1287</v>
      </c>
      <c r="B317" s="308" t="s">
        <v>1068</v>
      </c>
      <c r="C317" s="308" t="s">
        <v>565</v>
      </c>
      <c r="D317" s="308"/>
      <c r="E317" s="281" t="s">
        <v>566</v>
      </c>
      <c r="F317" s="412"/>
      <c r="G317" s="83">
        <f>G318</f>
        <v>0</v>
      </c>
      <c r="H317" s="83">
        <f>H318</f>
        <v>461300</v>
      </c>
      <c r="I317" s="83">
        <f t="shared" si="7"/>
        <v>461300</v>
      </c>
      <c r="J317" s="236"/>
      <c r="K317" s="106"/>
      <c r="N317" s="158"/>
    </row>
    <row r="318" spans="1:14" s="104" customFormat="1" ht="47.25" customHeight="1">
      <c r="A318" s="263" t="s">
        <v>1288</v>
      </c>
      <c r="B318" s="263" t="s">
        <v>1069</v>
      </c>
      <c r="C318" s="263" t="s">
        <v>98</v>
      </c>
      <c r="D318" s="433" t="s">
        <v>438</v>
      </c>
      <c r="E318" s="159" t="s">
        <v>804</v>
      </c>
      <c r="F318" s="405" t="s">
        <v>1305</v>
      </c>
      <c r="G318" s="367"/>
      <c r="H318" s="367">
        <v>461300</v>
      </c>
      <c r="I318" s="367">
        <f t="shared" si="7"/>
        <v>461300</v>
      </c>
      <c r="J318" s="242"/>
      <c r="K318" s="106"/>
      <c r="N318" s="158"/>
    </row>
    <row r="319" spans="1:14" s="104" customFormat="1" ht="31.5" customHeight="1" hidden="1">
      <c r="A319" s="98"/>
      <c r="B319" s="98" t="s">
        <v>154</v>
      </c>
      <c r="C319" s="98" t="s">
        <v>154</v>
      </c>
      <c r="D319" s="98"/>
      <c r="E319" s="99" t="s">
        <v>59</v>
      </c>
      <c r="F319" s="99"/>
      <c r="G319" s="83">
        <f>G320</f>
        <v>0</v>
      </c>
      <c r="H319" s="83">
        <f>H320</f>
        <v>0</v>
      </c>
      <c r="I319" s="83">
        <f t="shared" si="7"/>
        <v>0</v>
      </c>
      <c r="J319" s="144">
        <f>J320</f>
        <v>0</v>
      </c>
      <c r="K319" s="113"/>
      <c r="N319" s="158"/>
    </row>
    <row r="320" spans="1:14" s="104" customFormat="1" ht="31.5" customHeight="1" hidden="1">
      <c r="A320" s="263" t="s">
        <v>855</v>
      </c>
      <c r="B320" s="263"/>
      <c r="C320" s="263"/>
      <c r="D320" s="263"/>
      <c r="E320" s="348" t="s">
        <v>59</v>
      </c>
      <c r="F320" s="228"/>
      <c r="G320" s="83">
        <f>G321+G323</f>
        <v>0</v>
      </c>
      <c r="H320" s="83">
        <f>H321+H323</f>
        <v>0</v>
      </c>
      <c r="I320" s="83">
        <f t="shared" si="7"/>
        <v>0</v>
      </c>
      <c r="J320" s="144">
        <f>J321+J323</f>
        <v>0</v>
      </c>
      <c r="K320" s="113"/>
      <c r="N320" s="158"/>
    </row>
    <row r="321" spans="1:14" s="104" customFormat="1" ht="31.5" customHeight="1" hidden="1">
      <c r="A321" s="308" t="s">
        <v>856</v>
      </c>
      <c r="B321" s="308" t="s">
        <v>1060</v>
      </c>
      <c r="C321" s="308" t="s">
        <v>555</v>
      </c>
      <c r="D321" s="308"/>
      <c r="E321" s="353" t="s">
        <v>556</v>
      </c>
      <c r="F321" s="228"/>
      <c r="G321" s="83">
        <f>G322</f>
        <v>0</v>
      </c>
      <c r="H321" s="83">
        <f>H322</f>
        <v>0</v>
      </c>
      <c r="I321" s="83">
        <f t="shared" si="7"/>
        <v>0</v>
      </c>
      <c r="J321" s="144">
        <f>J322</f>
        <v>0</v>
      </c>
      <c r="K321" s="113"/>
      <c r="N321" s="158"/>
    </row>
    <row r="322" spans="1:14" s="104" customFormat="1" ht="31.5" customHeight="1" hidden="1">
      <c r="A322" s="263" t="s">
        <v>857</v>
      </c>
      <c r="B322" s="263" t="s">
        <v>471</v>
      </c>
      <c r="C322" s="263" t="s">
        <v>165</v>
      </c>
      <c r="D322" s="263" t="s">
        <v>436</v>
      </c>
      <c r="E322" s="347" t="s">
        <v>858</v>
      </c>
      <c r="F322" s="405" t="s">
        <v>1276</v>
      </c>
      <c r="G322" s="75"/>
      <c r="H322" s="75"/>
      <c r="I322" s="75">
        <f t="shared" si="7"/>
        <v>0</v>
      </c>
      <c r="J322" s="236"/>
      <c r="K322" s="113"/>
      <c r="N322" s="158"/>
    </row>
    <row r="323" spans="1:14" s="104" customFormat="1" ht="31.5" customHeight="1" hidden="1">
      <c r="A323" s="308" t="s">
        <v>859</v>
      </c>
      <c r="B323" s="308" t="s">
        <v>1160</v>
      </c>
      <c r="C323" s="308"/>
      <c r="D323" s="308"/>
      <c r="E323" s="349" t="s">
        <v>860</v>
      </c>
      <c r="F323" s="223"/>
      <c r="G323" s="75">
        <f>G324</f>
        <v>0</v>
      </c>
      <c r="H323" s="75">
        <f>H324</f>
        <v>0</v>
      </c>
      <c r="I323" s="75">
        <f t="shared" si="7"/>
        <v>0</v>
      </c>
      <c r="J323" s="236">
        <f>J324</f>
        <v>0</v>
      </c>
      <c r="K323" s="113"/>
      <c r="N323" s="158"/>
    </row>
    <row r="324" spans="1:14" s="104" customFormat="1" ht="31.5" customHeight="1" hidden="1">
      <c r="A324" s="263" t="s">
        <v>861</v>
      </c>
      <c r="B324" s="263" t="s">
        <v>1161</v>
      </c>
      <c r="C324" s="263" t="s">
        <v>41</v>
      </c>
      <c r="D324" s="263" t="s">
        <v>862</v>
      </c>
      <c r="E324" s="276" t="s">
        <v>863</v>
      </c>
      <c r="F324" s="164" t="s">
        <v>205</v>
      </c>
      <c r="G324" s="75"/>
      <c r="H324" s="75"/>
      <c r="I324" s="75">
        <f t="shared" si="7"/>
        <v>0</v>
      </c>
      <c r="J324" s="236"/>
      <c r="K324" s="113"/>
      <c r="N324" s="158"/>
    </row>
    <row r="325" spans="1:14" s="104" customFormat="1" ht="31.5" customHeight="1">
      <c r="A325" s="98"/>
      <c r="B325" s="98" t="s">
        <v>151</v>
      </c>
      <c r="C325" s="98" t="s">
        <v>151</v>
      </c>
      <c r="D325" s="98"/>
      <c r="E325" s="99" t="s">
        <v>56</v>
      </c>
      <c r="F325" s="166"/>
      <c r="G325" s="83">
        <f>G326</f>
        <v>0</v>
      </c>
      <c r="H325" s="83">
        <f>H326</f>
        <v>24114907</v>
      </c>
      <c r="I325" s="83">
        <f t="shared" si="7"/>
        <v>24114907</v>
      </c>
      <c r="J325" s="144">
        <f>J326</f>
        <v>0</v>
      </c>
      <c r="K325" s="113"/>
      <c r="N325" s="158"/>
    </row>
    <row r="326" spans="1:14" s="104" customFormat="1" ht="31.5" customHeight="1">
      <c r="A326" s="25" t="s">
        <v>864</v>
      </c>
      <c r="B326" s="25"/>
      <c r="C326" s="25"/>
      <c r="D326" s="25"/>
      <c r="E326" s="212" t="s">
        <v>56</v>
      </c>
      <c r="F326" s="223"/>
      <c r="G326" s="83">
        <f>G327+G329+G331+G334</f>
        <v>0</v>
      </c>
      <c r="H326" s="83">
        <f>H327+H329+H331+H334</f>
        <v>24114907</v>
      </c>
      <c r="I326" s="83">
        <f t="shared" si="7"/>
        <v>24114907</v>
      </c>
      <c r="J326" s="144">
        <f>J327+J329+J331+J334</f>
        <v>0</v>
      </c>
      <c r="K326" s="113"/>
      <c r="N326" s="158"/>
    </row>
    <row r="327" spans="1:14" s="104" customFormat="1" ht="31.5" customHeight="1" hidden="1">
      <c r="A327" s="308" t="s">
        <v>865</v>
      </c>
      <c r="B327" s="308" t="s">
        <v>1060</v>
      </c>
      <c r="C327" s="309" t="s">
        <v>555</v>
      </c>
      <c r="D327" s="309"/>
      <c r="E327" s="353" t="s">
        <v>556</v>
      </c>
      <c r="F327" s="223"/>
      <c r="G327" s="83">
        <f>G328</f>
        <v>0</v>
      </c>
      <c r="H327" s="83">
        <f>H328</f>
        <v>0</v>
      </c>
      <c r="I327" s="83">
        <f t="shared" si="7"/>
        <v>0</v>
      </c>
      <c r="J327" s="144">
        <f>J328</f>
        <v>0</v>
      </c>
      <c r="K327" s="113"/>
      <c r="N327" s="158"/>
    </row>
    <row r="328" spans="1:14" s="104" customFormat="1" ht="31.5" customHeight="1" hidden="1">
      <c r="A328" s="263" t="s">
        <v>866</v>
      </c>
      <c r="B328" s="263" t="s">
        <v>471</v>
      </c>
      <c r="C328" s="263" t="s">
        <v>165</v>
      </c>
      <c r="D328" s="263" t="s">
        <v>436</v>
      </c>
      <c r="E328" s="347" t="s">
        <v>867</v>
      </c>
      <c r="F328" s="405" t="s">
        <v>1276</v>
      </c>
      <c r="G328" s="75"/>
      <c r="H328" s="75"/>
      <c r="I328" s="75">
        <f t="shared" si="7"/>
        <v>0</v>
      </c>
      <c r="J328" s="236"/>
      <c r="K328" s="113"/>
      <c r="N328" s="158"/>
    </row>
    <row r="329" spans="1:14" s="104" customFormat="1" ht="31.5" customHeight="1" hidden="1">
      <c r="A329" s="308" t="s">
        <v>868</v>
      </c>
      <c r="B329" s="308" t="s">
        <v>1065</v>
      </c>
      <c r="C329" s="308" t="s">
        <v>568</v>
      </c>
      <c r="D329" s="308"/>
      <c r="E329" s="349" t="s">
        <v>688</v>
      </c>
      <c r="F329" s="223"/>
      <c r="G329" s="75">
        <f>G330</f>
        <v>0</v>
      </c>
      <c r="H329" s="75">
        <f>H330</f>
        <v>0</v>
      </c>
      <c r="I329" s="75">
        <f t="shared" si="7"/>
        <v>0</v>
      </c>
      <c r="J329" s="236">
        <f>J330</f>
        <v>0</v>
      </c>
      <c r="K329" s="113"/>
      <c r="N329" s="158"/>
    </row>
    <row r="330" spans="1:14" s="104" customFormat="1" ht="50.25" customHeight="1" hidden="1">
      <c r="A330" s="263" t="s">
        <v>869</v>
      </c>
      <c r="B330" s="263" t="s">
        <v>1066</v>
      </c>
      <c r="C330" s="263">
        <v>150101</v>
      </c>
      <c r="D330" s="263" t="s">
        <v>438</v>
      </c>
      <c r="E330" s="276" t="s">
        <v>571</v>
      </c>
      <c r="F330" s="405" t="s">
        <v>1241</v>
      </c>
      <c r="G330" s="75"/>
      <c r="H330" s="75">
        <f>10000000-10000000</f>
        <v>0</v>
      </c>
      <c r="I330" s="75">
        <f t="shared" si="7"/>
        <v>0</v>
      </c>
      <c r="J330" s="236"/>
      <c r="K330" s="113"/>
      <c r="N330" s="158"/>
    </row>
    <row r="331" spans="1:14" s="104" customFormat="1" ht="31.5" customHeight="1" hidden="1">
      <c r="A331" s="308" t="s">
        <v>870</v>
      </c>
      <c r="B331" s="308" t="s">
        <v>1070</v>
      </c>
      <c r="C331" s="308" t="s">
        <v>580</v>
      </c>
      <c r="D331" s="308"/>
      <c r="E331" s="352" t="s">
        <v>581</v>
      </c>
      <c r="F331" s="222"/>
      <c r="G331" s="75">
        <f>G332</f>
        <v>0</v>
      </c>
      <c r="H331" s="75">
        <f>H332</f>
        <v>0</v>
      </c>
      <c r="I331" s="75">
        <f t="shared" si="7"/>
        <v>0</v>
      </c>
      <c r="J331" s="236">
        <f>J332</f>
        <v>0</v>
      </c>
      <c r="K331" s="113"/>
      <c r="N331" s="158"/>
    </row>
    <row r="332" spans="1:14" s="104" customFormat="1" ht="31.5" customHeight="1" hidden="1">
      <c r="A332" s="312" t="s">
        <v>871</v>
      </c>
      <c r="B332" s="312" t="s">
        <v>1071</v>
      </c>
      <c r="C332" s="312" t="s">
        <v>77</v>
      </c>
      <c r="D332" s="312"/>
      <c r="E332" s="356" t="s">
        <v>92</v>
      </c>
      <c r="F332" s="222"/>
      <c r="G332" s="75">
        <f>G333</f>
        <v>0</v>
      </c>
      <c r="H332" s="75">
        <f>H333</f>
        <v>0</v>
      </c>
      <c r="I332" s="75">
        <f>G332+H332</f>
        <v>0</v>
      </c>
      <c r="J332" s="236">
        <f>J333</f>
        <v>0</v>
      </c>
      <c r="K332" s="113"/>
      <c r="N332" s="158"/>
    </row>
    <row r="333" spans="1:14" s="104" customFormat="1" ht="31.5" customHeight="1" hidden="1">
      <c r="A333" s="263" t="s">
        <v>872</v>
      </c>
      <c r="B333" s="263" t="s">
        <v>1072</v>
      </c>
      <c r="C333" s="263" t="s">
        <v>77</v>
      </c>
      <c r="D333" s="263"/>
      <c r="E333" s="9" t="s">
        <v>583</v>
      </c>
      <c r="F333" s="287" t="s">
        <v>1179</v>
      </c>
      <c r="G333" s="75"/>
      <c r="H333" s="75"/>
      <c r="I333" s="75">
        <f>G333+H333</f>
        <v>0</v>
      </c>
      <c r="J333" s="236"/>
      <c r="K333" s="113"/>
      <c r="N333" s="158"/>
    </row>
    <row r="334" spans="1:14" s="104" customFormat="1" ht="31.5" customHeight="1">
      <c r="A334" s="308" t="s">
        <v>873</v>
      </c>
      <c r="B334" s="308" t="s">
        <v>1076</v>
      </c>
      <c r="C334" s="308" t="s">
        <v>574</v>
      </c>
      <c r="D334" s="308"/>
      <c r="E334" s="281" t="s">
        <v>575</v>
      </c>
      <c r="F334" s="222"/>
      <c r="G334" s="83">
        <f>G335</f>
        <v>0</v>
      </c>
      <c r="H334" s="83">
        <f>H335</f>
        <v>24114907</v>
      </c>
      <c r="I334" s="83">
        <f>G334+H334</f>
        <v>24114907</v>
      </c>
      <c r="J334" s="236">
        <f>J335</f>
        <v>0</v>
      </c>
      <c r="K334" s="113"/>
      <c r="N334" s="158"/>
    </row>
    <row r="335" spans="1:14" s="104" customFormat="1" ht="51.75" customHeight="1">
      <c r="A335" s="263" t="s">
        <v>874</v>
      </c>
      <c r="B335" s="263" t="s">
        <v>1093</v>
      </c>
      <c r="C335" s="263" t="s">
        <v>29</v>
      </c>
      <c r="D335" s="263" t="s">
        <v>447</v>
      </c>
      <c r="E335" s="276" t="s">
        <v>106</v>
      </c>
      <c r="F335" s="412" t="s">
        <v>1243</v>
      </c>
      <c r="G335" s="305"/>
      <c r="H335" s="305">
        <f>16292589+6907326-3750000-155000+4870000-50008</f>
        <v>24114907</v>
      </c>
      <c r="I335" s="305">
        <f aca="true" t="shared" si="10" ref="I335:I432">G335+H335</f>
        <v>24114907</v>
      </c>
      <c r="J335" s="241"/>
      <c r="K335" s="113"/>
      <c r="N335" s="158"/>
    </row>
    <row r="336" spans="1:14" s="104" customFormat="1" ht="47.25" customHeight="1">
      <c r="A336" s="102"/>
      <c r="B336" s="102" t="s">
        <v>149</v>
      </c>
      <c r="C336" s="102" t="s">
        <v>149</v>
      </c>
      <c r="D336" s="102"/>
      <c r="E336" s="103" t="s">
        <v>57</v>
      </c>
      <c r="F336" s="166"/>
      <c r="G336" s="83">
        <f>G337</f>
        <v>72622322</v>
      </c>
      <c r="H336" s="83">
        <f>H337</f>
        <v>347768119</v>
      </c>
      <c r="I336" s="83">
        <f>G336+H336</f>
        <v>420390441</v>
      </c>
      <c r="J336" s="144">
        <f>J337</f>
        <v>0</v>
      </c>
      <c r="K336" s="113"/>
      <c r="N336" s="158"/>
    </row>
    <row r="337" spans="1:14" s="104" customFormat="1" ht="30" customHeight="1">
      <c r="A337" s="263" t="s">
        <v>875</v>
      </c>
      <c r="B337" s="263"/>
      <c r="C337" s="263"/>
      <c r="D337" s="263"/>
      <c r="E337" s="212" t="s">
        <v>57</v>
      </c>
      <c r="F337" s="223"/>
      <c r="G337" s="83">
        <f>G338+G340+G345+G352+G357+G361+G351+G347</f>
        <v>72622322</v>
      </c>
      <c r="H337" s="83">
        <f>H338+H340+H345+H352+H357+H361+H351+H347</f>
        <v>347768119</v>
      </c>
      <c r="I337" s="83">
        <f>G337+H337</f>
        <v>420390441</v>
      </c>
      <c r="J337" s="144">
        <f>J338+J340+J345+J347+J352+J357</f>
        <v>0</v>
      </c>
      <c r="K337" s="113"/>
      <c r="N337" s="158"/>
    </row>
    <row r="338" spans="1:14" s="104" customFormat="1" ht="15.75" customHeight="1" hidden="1">
      <c r="A338" s="308" t="s">
        <v>876</v>
      </c>
      <c r="B338" s="308" t="s">
        <v>1060</v>
      </c>
      <c r="C338" s="308" t="s">
        <v>555</v>
      </c>
      <c r="D338" s="308"/>
      <c r="E338" s="352" t="s">
        <v>556</v>
      </c>
      <c r="F338" s="223"/>
      <c r="G338" s="83">
        <f>G339</f>
        <v>0</v>
      </c>
      <c r="H338" s="83">
        <f>H339</f>
        <v>0</v>
      </c>
      <c r="I338" s="83">
        <f t="shared" si="10"/>
        <v>0</v>
      </c>
      <c r="J338" s="144">
        <f>J339</f>
        <v>0</v>
      </c>
      <c r="K338" s="113"/>
      <c r="N338" s="158"/>
    </row>
    <row r="339" spans="1:14" s="104" customFormat="1" ht="54.75" customHeight="1" hidden="1">
      <c r="A339" s="263" t="s">
        <v>877</v>
      </c>
      <c r="B339" s="263" t="s">
        <v>471</v>
      </c>
      <c r="C339" s="263" t="s">
        <v>165</v>
      </c>
      <c r="D339" s="263" t="s">
        <v>436</v>
      </c>
      <c r="E339" s="347" t="s">
        <v>878</v>
      </c>
      <c r="F339" s="405" t="s">
        <v>1276</v>
      </c>
      <c r="G339" s="75"/>
      <c r="H339" s="75"/>
      <c r="I339" s="75">
        <f t="shared" si="10"/>
        <v>0</v>
      </c>
      <c r="J339" s="236"/>
      <c r="K339" s="106"/>
      <c r="N339" s="158"/>
    </row>
    <row r="340" spans="1:14" s="104" customFormat="1" ht="15.75" customHeight="1">
      <c r="A340" s="308" t="s">
        <v>879</v>
      </c>
      <c r="B340" s="308" t="s">
        <v>1065</v>
      </c>
      <c r="C340" s="308" t="s">
        <v>568</v>
      </c>
      <c r="D340" s="308"/>
      <c r="E340" s="281" t="s">
        <v>688</v>
      </c>
      <c r="F340" s="223"/>
      <c r="G340" s="83">
        <f>G341+G342+G343+G344</f>
        <v>0</v>
      </c>
      <c r="H340" s="83">
        <f>H341+H342+H343+H344</f>
        <v>241556346</v>
      </c>
      <c r="I340" s="83">
        <f t="shared" si="10"/>
        <v>241556346</v>
      </c>
      <c r="J340" s="236">
        <f>J341+J342+J343+J344</f>
        <v>0</v>
      </c>
      <c r="K340" s="106"/>
      <c r="N340" s="158"/>
    </row>
    <row r="341" spans="1:14" s="104" customFormat="1" ht="70.5" customHeight="1">
      <c r="A341" s="260" t="s">
        <v>880</v>
      </c>
      <c r="B341" s="260" t="s">
        <v>1066</v>
      </c>
      <c r="C341" s="260">
        <v>150101</v>
      </c>
      <c r="D341" s="260" t="s">
        <v>438</v>
      </c>
      <c r="E341" s="277" t="s">
        <v>571</v>
      </c>
      <c r="F341" s="222" t="s">
        <v>490</v>
      </c>
      <c r="G341" s="75"/>
      <c r="H341" s="75">
        <f>1571658+874972-874972+874972</f>
        <v>2446630</v>
      </c>
      <c r="I341" s="75">
        <f t="shared" si="10"/>
        <v>2446630</v>
      </c>
      <c r="J341" s="236"/>
      <c r="K341" s="106"/>
      <c r="N341" s="158"/>
    </row>
    <row r="342" spans="1:14" s="104" customFormat="1" ht="63.75" customHeight="1">
      <c r="A342" s="260" t="s">
        <v>880</v>
      </c>
      <c r="B342" s="260" t="s">
        <v>1066</v>
      </c>
      <c r="C342" s="260">
        <v>150101</v>
      </c>
      <c r="D342" s="260" t="s">
        <v>438</v>
      </c>
      <c r="E342" s="277" t="s">
        <v>571</v>
      </c>
      <c r="F342" s="222" t="s">
        <v>491</v>
      </c>
      <c r="G342" s="75"/>
      <c r="H342" s="75">
        <f>200000000-20000000-3833254-273472+4712055-605329+605329-40000000-7868362-1000000</f>
        <v>131736967</v>
      </c>
      <c r="I342" s="75">
        <f t="shared" si="10"/>
        <v>131736967</v>
      </c>
      <c r="J342" s="236"/>
      <c r="K342" s="106"/>
      <c r="N342" s="158"/>
    </row>
    <row r="343" spans="1:14" s="104" customFormat="1" ht="56.25" customHeight="1">
      <c r="A343" s="260" t="s">
        <v>880</v>
      </c>
      <c r="B343" s="260" t="s">
        <v>1066</v>
      </c>
      <c r="C343" s="260">
        <v>150101</v>
      </c>
      <c r="D343" s="260" t="s">
        <v>438</v>
      </c>
      <c r="E343" s="277" t="s">
        <v>571</v>
      </c>
      <c r="F343" s="85" t="s">
        <v>493</v>
      </c>
      <c r="G343" s="75"/>
      <c r="H343" s="75">
        <v>5000000</v>
      </c>
      <c r="I343" s="75">
        <f t="shared" si="10"/>
        <v>5000000</v>
      </c>
      <c r="J343" s="236"/>
      <c r="K343" s="106"/>
      <c r="N343" s="158"/>
    </row>
    <row r="344" spans="1:14" s="104" customFormat="1" ht="54.75" customHeight="1">
      <c r="A344" s="260" t="s">
        <v>880</v>
      </c>
      <c r="B344" s="260" t="s">
        <v>1066</v>
      </c>
      <c r="C344" s="260">
        <v>150101</v>
      </c>
      <c r="D344" s="260" t="s">
        <v>438</v>
      </c>
      <c r="E344" s="277" t="s">
        <v>571</v>
      </c>
      <c r="F344" s="85" t="s">
        <v>1222</v>
      </c>
      <c r="G344" s="75"/>
      <c r="H344" s="75">
        <f>195972000-45972000-27627251-20000000</f>
        <v>102372749</v>
      </c>
      <c r="I344" s="75">
        <f t="shared" si="10"/>
        <v>102372749</v>
      </c>
      <c r="J344" s="236"/>
      <c r="K344" s="106"/>
      <c r="N344" s="158"/>
    </row>
    <row r="345" spans="1:14" s="104" customFormat="1" ht="33.75" customHeight="1">
      <c r="A345" s="308" t="s">
        <v>881</v>
      </c>
      <c r="B345" s="308" t="s">
        <v>1156</v>
      </c>
      <c r="C345" s="308" t="s">
        <v>823</v>
      </c>
      <c r="D345" s="308"/>
      <c r="E345" s="281" t="s">
        <v>824</v>
      </c>
      <c r="F345" s="223"/>
      <c r="G345" s="83">
        <f>G346</f>
        <v>68800000</v>
      </c>
      <c r="H345" s="83">
        <f>H346</f>
        <v>0</v>
      </c>
      <c r="I345" s="83">
        <f t="shared" si="10"/>
        <v>68800000</v>
      </c>
      <c r="J345" s="236">
        <f>J346</f>
        <v>0</v>
      </c>
      <c r="K345" s="106"/>
      <c r="N345" s="158"/>
    </row>
    <row r="346" spans="1:15" s="104" customFormat="1" ht="81.75" customHeight="1">
      <c r="A346" s="263" t="s">
        <v>882</v>
      </c>
      <c r="B346" s="263" t="s">
        <v>1162</v>
      </c>
      <c r="C346" s="263" t="s">
        <v>82</v>
      </c>
      <c r="D346" s="263" t="s">
        <v>468</v>
      </c>
      <c r="E346" s="276" t="s">
        <v>83</v>
      </c>
      <c r="F346" s="231" t="s">
        <v>490</v>
      </c>
      <c r="G346" s="75">
        <f>60000000-1200000+10000000</f>
        <v>68800000</v>
      </c>
      <c r="H346" s="75"/>
      <c r="I346" s="75">
        <f t="shared" si="10"/>
        <v>68800000</v>
      </c>
      <c r="J346" s="236"/>
      <c r="K346" s="106"/>
      <c r="N346" s="114"/>
      <c r="O346" s="115"/>
    </row>
    <row r="347" spans="1:15" s="104" customFormat="1" ht="31.5">
      <c r="A347" s="308" t="s">
        <v>883</v>
      </c>
      <c r="B347" s="308" t="s">
        <v>1163</v>
      </c>
      <c r="C347" s="308" t="s">
        <v>214</v>
      </c>
      <c r="D347" s="308"/>
      <c r="E347" s="281" t="s">
        <v>215</v>
      </c>
      <c r="F347" s="222"/>
      <c r="G347" s="381">
        <f>G348+G349+G350</f>
        <v>598500</v>
      </c>
      <c r="H347" s="381">
        <f>H348+H349+H350</f>
        <v>30124791</v>
      </c>
      <c r="I347" s="381">
        <f t="shared" si="10"/>
        <v>30723291</v>
      </c>
      <c r="J347" s="236">
        <f>J348+J349+J350</f>
        <v>0</v>
      </c>
      <c r="K347" s="106"/>
      <c r="N347" s="114"/>
      <c r="O347" s="115"/>
    </row>
    <row r="348" spans="1:15" s="104" customFormat="1" ht="63" customHeight="1" hidden="1">
      <c r="A348" s="308" t="s">
        <v>883</v>
      </c>
      <c r="B348" s="308" t="s">
        <v>1163</v>
      </c>
      <c r="C348" s="263" t="s">
        <v>214</v>
      </c>
      <c r="D348" s="263" t="s">
        <v>469</v>
      </c>
      <c r="E348" s="281" t="s">
        <v>215</v>
      </c>
      <c r="F348" s="231" t="s">
        <v>490</v>
      </c>
      <c r="G348" s="75"/>
      <c r="H348" s="75"/>
      <c r="I348" s="75">
        <f t="shared" si="10"/>
        <v>0</v>
      </c>
      <c r="J348" s="236"/>
      <c r="K348" s="106"/>
      <c r="N348" s="114"/>
      <c r="O348" s="115"/>
    </row>
    <row r="349" spans="1:15" s="104" customFormat="1" ht="67.5" customHeight="1">
      <c r="A349" s="263" t="s">
        <v>883</v>
      </c>
      <c r="B349" s="263" t="s">
        <v>1163</v>
      </c>
      <c r="C349" s="263" t="s">
        <v>214</v>
      </c>
      <c r="D349" s="263" t="s">
        <v>469</v>
      </c>
      <c r="E349" s="402" t="s">
        <v>215</v>
      </c>
      <c r="F349" s="231" t="s">
        <v>491</v>
      </c>
      <c r="G349" s="75">
        <f>19245753-19245753</f>
        <v>0</v>
      </c>
      <c r="H349" s="75">
        <f>20000000+3833254-3833254-19245753+1256429+19245753+7868362+1000000</f>
        <v>30124791</v>
      </c>
      <c r="I349" s="75">
        <f t="shared" si="10"/>
        <v>30124791</v>
      </c>
      <c r="J349" s="236"/>
      <c r="K349" s="106"/>
      <c r="N349" s="114"/>
      <c r="O349" s="115"/>
    </row>
    <row r="350" spans="1:15" s="104" customFormat="1" ht="63" customHeight="1">
      <c r="A350" s="263" t="s">
        <v>883</v>
      </c>
      <c r="B350" s="263" t="s">
        <v>1163</v>
      </c>
      <c r="C350" s="263" t="s">
        <v>214</v>
      </c>
      <c r="D350" s="263" t="s">
        <v>469</v>
      </c>
      <c r="E350" s="402" t="s">
        <v>215</v>
      </c>
      <c r="F350" s="222" t="s">
        <v>534</v>
      </c>
      <c r="G350" s="75">
        <f>1200000-601500+601500-601500</f>
        <v>598500</v>
      </c>
      <c r="H350" s="75"/>
      <c r="I350" s="75">
        <f t="shared" si="10"/>
        <v>598500</v>
      </c>
      <c r="J350" s="236"/>
      <c r="K350" s="106"/>
      <c r="N350" s="114"/>
      <c r="O350" s="115"/>
    </row>
    <row r="351" spans="1:15" s="104" customFormat="1" ht="63" customHeight="1">
      <c r="A351" s="263" t="s">
        <v>1282</v>
      </c>
      <c r="B351" s="263" t="s">
        <v>1281</v>
      </c>
      <c r="C351" s="263"/>
      <c r="D351" s="263" t="s">
        <v>1284</v>
      </c>
      <c r="E351" s="402" t="s">
        <v>1283</v>
      </c>
      <c r="F351" s="412" t="s">
        <v>490</v>
      </c>
      <c r="G351" s="75">
        <v>3223822</v>
      </c>
      <c r="H351" s="75">
        <v>42942378</v>
      </c>
      <c r="I351" s="75">
        <f t="shared" si="10"/>
        <v>46166200</v>
      </c>
      <c r="J351" s="236"/>
      <c r="K351" s="106"/>
      <c r="N351" s="114"/>
      <c r="O351" s="115"/>
    </row>
    <row r="352" spans="1:15" s="104" customFormat="1" ht="15.75" customHeight="1">
      <c r="A352" s="308" t="s">
        <v>884</v>
      </c>
      <c r="B352" s="308" t="s">
        <v>1068</v>
      </c>
      <c r="C352" s="309" t="s">
        <v>565</v>
      </c>
      <c r="D352" s="309"/>
      <c r="E352" s="281" t="s">
        <v>566</v>
      </c>
      <c r="G352" s="83">
        <f>G353+G354+G355+G356</f>
        <v>0</v>
      </c>
      <c r="H352" s="83">
        <f>H353+H354+H355+H356</f>
        <v>33119604</v>
      </c>
      <c r="I352" s="83">
        <f t="shared" si="10"/>
        <v>33119604</v>
      </c>
      <c r="J352" s="236">
        <f>J353+J354+J355+J356</f>
        <v>0</v>
      </c>
      <c r="K352" s="106"/>
      <c r="N352" s="114"/>
      <c r="O352" s="115"/>
    </row>
    <row r="353" spans="1:14" s="104" customFormat="1" ht="79.5" customHeight="1">
      <c r="A353" s="263" t="s">
        <v>885</v>
      </c>
      <c r="B353" s="263" t="s">
        <v>1069</v>
      </c>
      <c r="C353" s="263" t="s">
        <v>98</v>
      </c>
      <c r="D353" s="263" t="s">
        <v>438</v>
      </c>
      <c r="E353" s="276" t="s">
        <v>804</v>
      </c>
      <c r="F353" s="404" t="s">
        <v>490</v>
      </c>
      <c r="G353" s="75"/>
      <c r="H353" s="75">
        <f>73323350+508360-1165547-39546559</f>
        <v>33119604</v>
      </c>
      <c r="I353" s="75">
        <f t="shared" si="10"/>
        <v>33119604</v>
      </c>
      <c r="J353" s="236"/>
      <c r="K353" s="113"/>
      <c r="N353" s="158"/>
    </row>
    <row r="354" spans="1:14" s="104" customFormat="1" ht="79.5" customHeight="1" hidden="1">
      <c r="A354" s="263" t="s">
        <v>885</v>
      </c>
      <c r="B354" s="263" t="s">
        <v>1069</v>
      </c>
      <c r="C354" s="263" t="s">
        <v>98</v>
      </c>
      <c r="D354" s="418"/>
      <c r="E354" s="276" t="s">
        <v>804</v>
      </c>
      <c r="F354" s="404" t="s">
        <v>474</v>
      </c>
      <c r="G354" s="75"/>
      <c r="H354" s="75"/>
      <c r="I354" s="75">
        <f t="shared" si="10"/>
        <v>0</v>
      </c>
      <c r="J354" s="236"/>
      <c r="K354" s="113"/>
      <c r="N354" s="158"/>
    </row>
    <row r="355" spans="1:14" s="104" customFormat="1" ht="53.25" customHeight="1" hidden="1">
      <c r="A355" s="393" t="s">
        <v>885</v>
      </c>
      <c r="B355" s="393" t="s">
        <v>1069</v>
      </c>
      <c r="C355" s="393" t="s">
        <v>98</v>
      </c>
      <c r="D355" s="413"/>
      <c r="E355" s="415" t="s">
        <v>804</v>
      </c>
      <c r="F355" s="416" t="s">
        <v>1280</v>
      </c>
      <c r="G355" s="417"/>
      <c r="H355" s="417"/>
      <c r="I355" s="75">
        <f t="shared" si="10"/>
        <v>0</v>
      </c>
      <c r="J355" s="243"/>
      <c r="K355" s="113"/>
      <c r="N355" s="158"/>
    </row>
    <row r="356" spans="1:14" s="104" customFormat="1" ht="63" customHeight="1" hidden="1">
      <c r="A356" s="263" t="s">
        <v>885</v>
      </c>
      <c r="B356" s="263" t="s">
        <v>1069</v>
      </c>
      <c r="C356" s="263" t="s">
        <v>98</v>
      </c>
      <c r="D356" s="414"/>
      <c r="E356" s="276" t="s">
        <v>804</v>
      </c>
      <c r="F356" s="404" t="s">
        <v>491</v>
      </c>
      <c r="G356" s="75"/>
      <c r="H356" s="75"/>
      <c r="I356" s="75">
        <f t="shared" si="10"/>
        <v>0</v>
      </c>
      <c r="J356" s="114"/>
      <c r="K356" s="113"/>
      <c r="N356" s="158"/>
    </row>
    <row r="357" spans="1:14" s="104" customFormat="1" ht="15.75" customHeight="1" hidden="1">
      <c r="A357" s="308" t="s">
        <v>870</v>
      </c>
      <c r="B357" s="308" t="s">
        <v>1070</v>
      </c>
      <c r="C357" s="308" t="s">
        <v>580</v>
      </c>
      <c r="D357" s="308"/>
      <c r="E357" s="352" t="s">
        <v>581</v>
      </c>
      <c r="F357" s="222"/>
      <c r="G357" s="75">
        <f>G358</f>
        <v>0</v>
      </c>
      <c r="H357" s="75">
        <f>H358</f>
        <v>0</v>
      </c>
      <c r="I357" s="75">
        <f t="shared" si="10"/>
        <v>0</v>
      </c>
      <c r="J357" s="114">
        <f>J358</f>
        <v>0</v>
      </c>
      <c r="K357" s="113"/>
      <c r="N357" s="158"/>
    </row>
    <row r="358" spans="1:14" s="104" customFormat="1" ht="15.75" customHeight="1" hidden="1">
      <c r="A358" s="313" t="s">
        <v>886</v>
      </c>
      <c r="B358" s="313" t="s">
        <v>1071</v>
      </c>
      <c r="C358" s="313" t="s">
        <v>77</v>
      </c>
      <c r="D358" s="313"/>
      <c r="E358" s="357" t="s">
        <v>92</v>
      </c>
      <c r="F358" s="222"/>
      <c r="G358" s="75">
        <f>G359+G360</f>
        <v>0</v>
      </c>
      <c r="H358" s="75">
        <f>H359+H360</f>
        <v>0</v>
      </c>
      <c r="I358" s="75">
        <f t="shared" si="10"/>
        <v>0</v>
      </c>
      <c r="J358" s="114">
        <f>J359+J360</f>
        <v>0</v>
      </c>
      <c r="K358" s="113"/>
      <c r="N358" s="158"/>
    </row>
    <row r="359" spans="1:14" s="104" customFormat="1" ht="51" customHeight="1" hidden="1">
      <c r="A359" s="25" t="s">
        <v>887</v>
      </c>
      <c r="B359" s="25" t="s">
        <v>1072</v>
      </c>
      <c r="C359" s="25" t="s">
        <v>77</v>
      </c>
      <c r="D359" s="25"/>
      <c r="E359" s="9" t="s">
        <v>583</v>
      </c>
      <c r="F359" s="176" t="s">
        <v>500</v>
      </c>
      <c r="G359" s="75"/>
      <c r="H359" s="75"/>
      <c r="I359" s="75">
        <f t="shared" si="10"/>
        <v>0</v>
      </c>
      <c r="J359" s="114"/>
      <c r="K359" s="113"/>
      <c r="N359" s="158"/>
    </row>
    <row r="360" spans="1:14" s="104" customFormat="1" ht="38.25" customHeight="1" hidden="1">
      <c r="A360" s="25" t="s">
        <v>888</v>
      </c>
      <c r="B360" s="25" t="s">
        <v>1074</v>
      </c>
      <c r="C360" s="25" t="s">
        <v>77</v>
      </c>
      <c r="D360" s="25"/>
      <c r="E360" s="276" t="s">
        <v>585</v>
      </c>
      <c r="G360" s="75">
        <f>1441000-1441000</f>
        <v>0</v>
      </c>
      <c r="H360" s="75">
        <f>1441000-1441000</f>
        <v>0</v>
      </c>
      <c r="I360" s="75">
        <f t="shared" si="10"/>
        <v>0</v>
      </c>
      <c r="J360" s="236">
        <f>1441000-1441000</f>
        <v>0</v>
      </c>
      <c r="K360" s="113"/>
      <c r="N360" s="158"/>
    </row>
    <row r="361" spans="1:14" s="104" customFormat="1" ht="38.25" customHeight="1">
      <c r="A361" s="308" t="s">
        <v>1245</v>
      </c>
      <c r="B361" s="308" t="s">
        <v>1076</v>
      </c>
      <c r="C361" s="308" t="s">
        <v>574</v>
      </c>
      <c r="D361" s="308"/>
      <c r="E361" s="349" t="s">
        <v>575</v>
      </c>
      <c r="F361" s="405"/>
      <c r="G361" s="75">
        <f>G362</f>
        <v>0</v>
      </c>
      <c r="H361" s="75">
        <f>H362</f>
        <v>25000</v>
      </c>
      <c r="I361" s="75">
        <f t="shared" si="10"/>
        <v>25000</v>
      </c>
      <c r="J361" s="236"/>
      <c r="K361" s="113"/>
      <c r="N361" s="158"/>
    </row>
    <row r="362" spans="1:14" s="104" customFormat="1" ht="63">
      <c r="A362" s="263" t="s">
        <v>1246</v>
      </c>
      <c r="B362" s="263" t="s">
        <v>1093</v>
      </c>
      <c r="C362" s="263" t="s">
        <v>29</v>
      </c>
      <c r="D362" s="263" t="s">
        <v>447</v>
      </c>
      <c r="E362" s="276" t="s">
        <v>106</v>
      </c>
      <c r="F362" s="405" t="s">
        <v>1243</v>
      </c>
      <c r="G362" s="75"/>
      <c r="H362" s="75">
        <v>25000</v>
      </c>
      <c r="I362" s="75">
        <f t="shared" si="10"/>
        <v>25000</v>
      </c>
      <c r="J362" s="236"/>
      <c r="K362" s="113"/>
      <c r="N362" s="158"/>
    </row>
    <row r="363" spans="1:14" s="104" customFormat="1" ht="52.5" customHeight="1">
      <c r="A363" s="98"/>
      <c r="B363" s="98" t="s">
        <v>144</v>
      </c>
      <c r="C363" s="98" t="s">
        <v>144</v>
      </c>
      <c r="D363" s="98"/>
      <c r="E363" s="99" t="s">
        <v>52</v>
      </c>
      <c r="F363" s="167"/>
      <c r="G363" s="83">
        <f>G364</f>
        <v>9650756</v>
      </c>
      <c r="H363" s="83">
        <f>H364</f>
        <v>214188</v>
      </c>
      <c r="I363" s="83">
        <f t="shared" si="10"/>
        <v>9864944</v>
      </c>
      <c r="J363" s="144">
        <f>J364</f>
        <v>214188</v>
      </c>
      <c r="K363" s="113"/>
      <c r="N363" s="158"/>
    </row>
    <row r="364" spans="1:14" s="104" customFormat="1" ht="45.75" customHeight="1">
      <c r="A364" s="25" t="s">
        <v>889</v>
      </c>
      <c r="B364" s="25"/>
      <c r="C364" s="25"/>
      <c r="D364" s="25"/>
      <c r="E364" s="212" t="s">
        <v>52</v>
      </c>
      <c r="F364" s="223"/>
      <c r="G364" s="83">
        <f>G365+G367</f>
        <v>9650756</v>
      </c>
      <c r="H364" s="83">
        <f>H365+H367</f>
        <v>214188</v>
      </c>
      <c r="I364" s="83">
        <f t="shared" si="10"/>
        <v>9864944</v>
      </c>
      <c r="J364" s="144">
        <f>J365+J367</f>
        <v>214188</v>
      </c>
      <c r="K364" s="113"/>
      <c r="N364" s="158"/>
    </row>
    <row r="365" spans="1:14" s="104" customFormat="1" ht="15.75" customHeight="1" hidden="1">
      <c r="A365" s="308" t="s">
        <v>890</v>
      </c>
      <c r="B365" s="308" t="s">
        <v>1060</v>
      </c>
      <c r="C365" s="309" t="s">
        <v>555</v>
      </c>
      <c r="D365" s="309"/>
      <c r="E365" s="353" t="s">
        <v>556</v>
      </c>
      <c r="F365" s="223"/>
      <c r="G365" s="83">
        <f>G366</f>
        <v>0</v>
      </c>
      <c r="H365" s="83">
        <f>H366</f>
        <v>0</v>
      </c>
      <c r="I365" s="83">
        <f t="shared" si="10"/>
        <v>0</v>
      </c>
      <c r="J365" s="144">
        <f>J366</f>
        <v>0</v>
      </c>
      <c r="K365" s="113"/>
      <c r="N365" s="158"/>
    </row>
    <row r="366" spans="1:14" s="104" customFormat="1" ht="47.25" customHeight="1" hidden="1">
      <c r="A366" s="263" t="s">
        <v>891</v>
      </c>
      <c r="B366" s="263" t="s">
        <v>471</v>
      </c>
      <c r="C366" s="263" t="s">
        <v>165</v>
      </c>
      <c r="D366" s="263" t="s">
        <v>436</v>
      </c>
      <c r="E366" s="347" t="s">
        <v>892</v>
      </c>
      <c r="F366" s="405" t="s">
        <v>1276</v>
      </c>
      <c r="G366" s="75"/>
      <c r="H366" s="75"/>
      <c r="I366" s="75">
        <f t="shared" si="10"/>
        <v>0</v>
      </c>
      <c r="J366" s="236"/>
      <c r="K366" s="113"/>
      <c r="N366" s="158"/>
    </row>
    <row r="367" spans="1:14" s="104" customFormat="1" ht="36" customHeight="1">
      <c r="A367" s="308" t="s">
        <v>893</v>
      </c>
      <c r="B367" s="308" t="s">
        <v>1164</v>
      </c>
      <c r="C367" s="308" t="s">
        <v>894</v>
      </c>
      <c r="D367" s="308"/>
      <c r="E367" s="281" t="s">
        <v>895</v>
      </c>
      <c r="F367" s="223"/>
      <c r="G367" s="83">
        <f>G368+G369</f>
        <v>9650756</v>
      </c>
      <c r="H367" s="83">
        <f>H368+H369</f>
        <v>214188</v>
      </c>
      <c r="I367" s="83">
        <f t="shared" si="10"/>
        <v>9864944</v>
      </c>
      <c r="J367" s="236">
        <f>J368+J369</f>
        <v>214188</v>
      </c>
      <c r="K367" s="113"/>
      <c r="N367" s="158"/>
    </row>
    <row r="368" spans="1:15" s="104" customFormat="1" ht="66.75" customHeight="1">
      <c r="A368" s="263" t="s">
        <v>896</v>
      </c>
      <c r="B368" s="263" t="s">
        <v>1165</v>
      </c>
      <c r="C368" s="263" t="s">
        <v>88</v>
      </c>
      <c r="D368" s="263" t="s">
        <v>470</v>
      </c>
      <c r="E368" s="276" t="s">
        <v>219</v>
      </c>
      <c r="F368" s="401" t="s">
        <v>1223</v>
      </c>
      <c r="G368" s="75">
        <v>4662123</v>
      </c>
      <c r="H368" s="75">
        <v>93043</v>
      </c>
      <c r="I368" s="75">
        <f t="shared" si="10"/>
        <v>4755166</v>
      </c>
      <c r="J368" s="236">
        <v>93043</v>
      </c>
      <c r="K368" s="113"/>
      <c r="N368" s="114"/>
      <c r="O368" s="115"/>
    </row>
    <row r="369" spans="1:15" s="104" customFormat="1" ht="63" customHeight="1">
      <c r="A369" s="263" t="s">
        <v>897</v>
      </c>
      <c r="B369" s="263" t="s">
        <v>1166</v>
      </c>
      <c r="C369" s="263">
        <v>210110</v>
      </c>
      <c r="D369" s="263" t="s">
        <v>470</v>
      </c>
      <c r="E369" s="276" t="s">
        <v>898</v>
      </c>
      <c r="F369" s="401" t="s">
        <v>1223</v>
      </c>
      <c r="G369" s="75">
        <v>4988633</v>
      </c>
      <c r="H369" s="75">
        <v>121145</v>
      </c>
      <c r="I369" s="75">
        <f t="shared" si="10"/>
        <v>5109778</v>
      </c>
      <c r="J369" s="236">
        <v>121145</v>
      </c>
      <c r="K369" s="113"/>
      <c r="N369" s="114"/>
      <c r="O369" s="115"/>
    </row>
    <row r="370" spans="1:14" s="104" customFormat="1" ht="31.5" customHeight="1">
      <c r="A370" s="98"/>
      <c r="B370" s="98" t="s">
        <v>153</v>
      </c>
      <c r="C370" s="98" t="s">
        <v>153</v>
      </c>
      <c r="D370" s="98"/>
      <c r="E370" s="99" t="s">
        <v>58</v>
      </c>
      <c r="F370" s="165"/>
      <c r="G370" s="83">
        <f>G371</f>
        <v>302861</v>
      </c>
      <c r="H370" s="83">
        <f>H371</f>
        <v>30000</v>
      </c>
      <c r="I370" s="83">
        <f t="shared" si="10"/>
        <v>332861</v>
      </c>
      <c r="J370" s="144">
        <f>J371</f>
        <v>0</v>
      </c>
      <c r="K370" s="113"/>
      <c r="N370" s="158"/>
    </row>
    <row r="371" spans="1:14" s="104" customFormat="1" ht="34.5" customHeight="1">
      <c r="A371" s="25" t="s">
        <v>899</v>
      </c>
      <c r="B371" s="25"/>
      <c r="C371" s="25"/>
      <c r="D371" s="25"/>
      <c r="E371" s="212" t="s">
        <v>58</v>
      </c>
      <c r="F371" s="229"/>
      <c r="G371" s="83">
        <f>G372+G374+G377+G381+G385+G379</f>
        <v>302861</v>
      </c>
      <c r="H371" s="83">
        <f>H372+H374+H377+H381+H385+H379</f>
        <v>30000</v>
      </c>
      <c r="I371" s="83">
        <f>I372+I374+I377+I381+I385+I379</f>
        <v>332861</v>
      </c>
      <c r="J371" s="144">
        <f>J372+J374+J377+J381+J385</f>
        <v>0</v>
      </c>
      <c r="K371" s="113"/>
      <c r="N371" s="158"/>
    </row>
    <row r="372" spans="1:14" s="104" customFormat="1" ht="15.75" customHeight="1" hidden="1">
      <c r="A372" s="308" t="s">
        <v>900</v>
      </c>
      <c r="B372" s="308" t="s">
        <v>1060</v>
      </c>
      <c r="C372" s="309" t="s">
        <v>555</v>
      </c>
      <c r="D372" s="309"/>
      <c r="E372" s="353" t="s">
        <v>556</v>
      </c>
      <c r="F372" s="229"/>
      <c r="G372" s="83">
        <f>G373</f>
        <v>0</v>
      </c>
      <c r="H372" s="83">
        <f>H373</f>
        <v>0</v>
      </c>
      <c r="I372" s="83">
        <f t="shared" si="10"/>
        <v>0</v>
      </c>
      <c r="J372" s="144">
        <f>J373</f>
        <v>0</v>
      </c>
      <c r="K372" s="113"/>
      <c r="N372" s="158"/>
    </row>
    <row r="373" spans="1:14" s="104" customFormat="1" ht="47.25" customHeight="1" hidden="1">
      <c r="A373" s="263" t="s">
        <v>901</v>
      </c>
      <c r="B373" s="263" t="s">
        <v>471</v>
      </c>
      <c r="C373" s="263" t="s">
        <v>165</v>
      </c>
      <c r="D373" s="263" t="s">
        <v>436</v>
      </c>
      <c r="E373" s="347" t="s">
        <v>902</v>
      </c>
      <c r="F373" s="405" t="s">
        <v>1276</v>
      </c>
      <c r="G373" s="75"/>
      <c r="H373" s="75"/>
      <c r="I373" s="75">
        <f t="shared" si="10"/>
        <v>0</v>
      </c>
      <c r="J373" s="236"/>
      <c r="K373" s="113"/>
      <c r="N373" s="158"/>
    </row>
    <row r="374" spans="1:14" s="104" customFormat="1" ht="15.75" customHeight="1" hidden="1">
      <c r="A374" s="308" t="s">
        <v>903</v>
      </c>
      <c r="B374" s="308" t="s">
        <v>1065</v>
      </c>
      <c r="C374" s="308" t="s">
        <v>568</v>
      </c>
      <c r="D374" s="308"/>
      <c r="E374" s="352" t="s">
        <v>688</v>
      </c>
      <c r="F374" s="223"/>
      <c r="G374" s="75">
        <f>G375+G376</f>
        <v>0</v>
      </c>
      <c r="H374" s="75">
        <f>H375+H376</f>
        <v>0</v>
      </c>
      <c r="I374" s="75">
        <f t="shared" si="10"/>
        <v>0</v>
      </c>
      <c r="J374" s="236">
        <f>J375+J376</f>
        <v>0</v>
      </c>
      <c r="K374" s="113"/>
      <c r="N374" s="158"/>
    </row>
    <row r="375" spans="1:14" s="104" customFormat="1" ht="66" customHeight="1" hidden="1">
      <c r="A375" s="263" t="s">
        <v>904</v>
      </c>
      <c r="B375" s="263" t="s">
        <v>1066</v>
      </c>
      <c r="C375" s="263" t="s">
        <v>84</v>
      </c>
      <c r="D375" s="263" t="s">
        <v>438</v>
      </c>
      <c r="E375" s="276" t="s">
        <v>571</v>
      </c>
      <c r="F375" s="287" t="s">
        <v>1176</v>
      </c>
      <c r="G375" s="305"/>
      <c r="H375" s="305"/>
      <c r="I375" s="305">
        <f t="shared" si="10"/>
        <v>0</v>
      </c>
      <c r="J375" s="241"/>
      <c r="K375" s="113"/>
      <c r="N375" s="158"/>
    </row>
    <row r="376" spans="1:14" s="104" customFormat="1" ht="68.25" customHeight="1" hidden="1">
      <c r="A376" s="263" t="s">
        <v>905</v>
      </c>
      <c r="B376" s="263" t="s">
        <v>1154</v>
      </c>
      <c r="C376" s="263" t="s">
        <v>99</v>
      </c>
      <c r="D376" s="263" t="s">
        <v>465</v>
      </c>
      <c r="E376" s="347" t="s">
        <v>801</v>
      </c>
      <c r="F376" s="287" t="s">
        <v>1176</v>
      </c>
      <c r="G376" s="305"/>
      <c r="H376" s="305"/>
      <c r="I376" s="305">
        <f t="shared" si="10"/>
        <v>0</v>
      </c>
      <c r="J376" s="241"/>
      <c r="K376" s="113"/>
      <c r="N376" s="158"/>
    </row>
    <row r="377" spans="1:14" s="104" customFormat="1" ht="15.75" customHeight="1" hidden="1">
      <c r="A377" s="308" t="s">
        <v>906</v>
      </c>
      <c r="B377" s="308" t="s">
        <v>1068</v>
      </c>
      <c r="C377" s="309" t="s">
        <v>565</v>
      </c>
      <c r="D377" s="309"/>
      <c r="E377" s="281" t="s">
        <v>566</v>
      </c>
      <c r="F377" s="223"/>
      <c r="G377" s="305">
        <f>G378</f>
        <v>0</v>
      </c>
      <c r="H377" s="305">
        <f>H378</f>
        <v>0</v>
      </c>
      <c r="I377" s="305">
        <f t="shared" si="10"/>
        <v>0</v>
      </c>
      <c r="J377" s="241">
        <f>J378</f>
        <v>0</v>
      </c>
      <c r="K377" s="113"/>
      <c r="N377" s="158"/>
    </row>
    <row r="378" spans="1:14" s="140" customFormat="1" ht="63" customHeight="1" hidden="1">
      <c r="A378" s="263" t="s">
        <v>907</v>
      </c>
      <c r="B378" s="263" t="s">
        <v>1069</v>
      </c>
      <c r="C378" s="263" t="s">
        <v>98</v>
      </c>
      <c r="D378" s="263" t="s">
        <v>438</v>
      </c>
      <c r="E378" s="276" t="s">
        <v>804</v>
      </c>
      <c r="F378" s="405" t="s">
        <v>1266</v>
      </c>
      <c r="G378" s="305"/>
      <c r="H378" s="305">
        <v>0</v>
      </c>
      <c r="I378" s="305">
        <f t="shared" si="10"/>
        <v>0</v>
      </c>
      <c r="J378" s="241"/>
      <c r="K378" s="139"/>
      <c r="N378" s="141"/>
    </row>
    <row r="379" spans="1:14" s="140" customFormat="1" ht="15.75" customHeight="1" hidden="1">
      <c r="A379" s="308" t="s">
        <v>1191</v>
      </c>
      <c r="B379" s="308"/>
      <c r="C379" s="308" t="s">
        <v>206</v>
      </c>
      <c r="D379" s="308"/>
      <c r="E379" s="281" t="s">
        <v>207</v>
      </c>
      <c r="F379" s="389"/>
      <c r="G379" s="345">
        <f>G380</f>
        <v>0</v>
      </c>
      <c r="H379" s="345">
        <f>H380</f>
        <v>0</v>
      </c>
      <c r="I379" s="345">
        <f>I380</f>
        <v>0</v>
      </c>
      <c r="J379" s="241"/>
      <c r="K379" s="139"/>
      <c r="N379" s="141"/>
    </row>
    <row r="380" spans="1:14" s="140" customFormat="1" ht="47.25" hidden="1">
      <c r="A380" s="308" t="s">
        <v>1191</v>
      </c>
      <c r="B380" s="263" t="s">
        <v>1143</v>
      </c>
      <c r="C380" s="263" t="s">
        <v>206</v>
      </c>
      <c r="D380" s="263" t="s">
        <v>446</v>
      </c>
      <c r="E380" s="281" t="s">
        <v>207</v>
      </c>
      <c r="F380" s="405" t="s">
        <v>1276</v>
      </c>
      <c r="G380" s="305">
        <f>10000000-3000000-2215330-4784670</f>
        <v>0</v>
      </c>
      <c r="H380" s="305"/>
      <c r="I380" s="345">
        <f t="shared" si="10"/>
        <v>0</v>
      </c>
      <c r="J380" s="241"/>
      <c r="K380" s="139"/>
      <c r="N380" s="141"/>
    </row>
    <row r="381" spans="1:14" s="140" customFormat="1" ht="15.75" customHeight="1">
      <c r="A381" s="308" t="s">
        <v>908</v>
      </c>
      <c r="B381" s="308" t="s">
        <v>1070</v>
      </c>
      <c r="C381" s="308" t="s">
        <v>580</v>
      </c>
      <c r="D381" s="308"/>
      <c r="E381" s="281" t="s">
        <v>581</v>
      </c>
      <c r="F381" s="223"/>
      <c r="G381" s="345">
        <f>G382</f>
        <v>302861</v>
      </c>
      <c r="H381" s="345">
        <f>H382</f>
        <v>0</v>
      </c>
      <c r="I381" s="345">
        <f t="shared" si="10"/>
        <v>302861</v>
      </c>
      <c r="J381" s="241">
        <f>J382</f>
        <v>0</v>
      </c>
      <c r="K381" s="139"/>
      <c r="N381" s="141"/>
    </row>
    <row r="382" spans="1:14" s="140" customFormat="1" ht="15.75" customHeight="1" hidden="1">
      <c r="A382" s="311" t="s">
        <v>909</v>
      </c>
      <c r="B382" s="311" t="s">
        <v>1071</v>
      </c>
      <c r="C382" s="311" t="s">
        <v>77</v>
      </c>
      <c r="D382" s="311"/>
      <c r="E382" s="333" t="s">
        <v>92</v>
      </c>
      <c r="F382" s="223"/>
      <c r="G382" s="305">
        <f>G383+G384</f>
        <v>302861</v>
      </c>
      <c r="H382" s="305">
        <f>H383+H384</f>
        <v>0</v>
      </c>
      <c r="I382" s="305">
        <f t="shared" si="10"/>
        <v>302861</v>
      </c>
      <c r="J382" s="241">
        <f>J383+J384</f>
        <v>0</v>
      </c>
      <c r="K382" s="139"/>
      <c r="N382" s="141"/>
    </row>
    <row r="383" spans="1:14" s="140" customFormat="1" ht="67.5" customHeight="1">
      <c r="A383" s="311" t="s">
        <v>909</v>
      </c>
      <c r="B383" s="311" t="s">
        <v>1071</v>
      </c>
      <c r="C383" s="25" t="s">
        <v>77</v>
      </c>
      <c r="D383" s="25" t="s">
        <v>439</v>
      </c>
      <c r="E383" s="333" t="s">
        <v>92</v>
      </c>
      <c r="F383" s="405" t="s">
        <v>1241</v>
      </c>
      <c r="G383" s="305">
        <v>302861</v>
      </c>
      <c r="H383" s="305"/>
      <c r="I383" s="305">
        <f t="shared" si="10"/>
        <v>302861</v>
      </c>
      <c r="J383" s="241"/>
      <c r="K383" s="139"/>
      <c r="N383" s="141"/>
    </row>
    <row r="384" spans="1:14" s="140" customFormat="1" ht="78.75" customHeight="1" hidden="1">
      <c r="A384" s="25" t="s">
        <v>910</v>
      </c>
      <c r="B384" s="25" t="s">
        <v>1072</v>
      </c>
      <c r="C384" s="25" t="s">
        <v>77</v>
      </c>
      <c r="D384" s="364"/>
      <c r="E384" s="363"/>
      <c r="F384" s="223" t="s">
        <v>542</v>
      </c>
      <c r="G384" s="305"/>
      <c r="H384" s="305"/>
      <c r="I384" s="305">
        <f t="shared" si="10"/>
        <v>0</v>
      </c>
      <c r="J384" s="241"/>
      <c r="K384" s="139"/>
      <c r="N384" s="141"/>
    </row>
    <row r="385" spans="1:14" s="140" customFormat="1" ht="15.75" customHeight="1">
      <c r="A385" s="308" t="s">
        <v>911</v>
      </c>
      <c r="B385" s="308" t="s">
        <v>1076</v>
      </c>
      <c r="C385" s="308" t="s">
        <v>574</v>
      </c>
      <c r="D385" s="308"/>
      <c r="E385" s="349" t="s">
        <v>575</v>
      </c>
      <c r="F385" s="223"/>
      <c r="G385" s="305">
        <f>G387+G386</f>
        <v>0</v>
      </c>
      <c r="H385" s="305">
        <f>H387+H386</f>
        <v>30000</v>
      </c>
      <c r="I385" s="305">
        <f t="shared" si="10"/>
        <v>30000</v>
      </c>
      <c r="J385" s="241">
        <f>J387</f>
        <v>0</v>
      </c>
      <c r="K385" s="139"/>
      <c r="N385" s="141"/>
    </row>
    <row r="386" spans="1:14" s="140" customFormat="1" ht="59.25" customHeight="1">
      <c r="A386" s="263" t="s">
        <v>1244</v>
      </c>
      <c r="B386" s="263" t="s">
        <v>1093</v>
      </c>
      <c r="C386" s="263" t="s">
        <v>29</v>
      </c>
      <c r="D386" s="263" t="s">
        <v>447</v>
      </c>
      <c r="E386" s="276" t="s">
        <v>106</v>
      </c>
      <c r="F386" s="405" t="s">
        <v>1243</v>
      </c>
      <c r="G386" s="305"/>
      <c r="H386" s="305">
        <v>30000</v>
      </c>
      <c r="I386" s="305">
        <f t="shared" si="10"/>
        <v>30000</v>
      </c>
      <c r="J386" s="241"/>
      <c r="K386" s="139"/>
      <c r="N386" s="141"/>
    </row>
    <row r="387" spans="1:14" s="140" customFormat="1" ht="63" hidden="1">
      <c r="A387" s="311" t="s">
        <v>912</v>
      </c>
      <c r="B387" s="311" t="s">
        <v>1077</v>
      </c>
      <c r="C387" s="332" t="s">
        <v>71</v>
      </c>
      <c r="D387" s="332"/>
      <c r="E387" s="333" t="s">
        <v>221</v>
      </c>
      <c r="F387" s="223"/>
      <c r="G387" s="305">
        <f>G388</f>
        <v>0</v>
      </c>
      <c r="H387" s="305">
        <f>H388</f>
        <v>0</v>
      </c>
      <c r="I387" s="305">
        <f>G387+H387</f>
        <v>0</v>
      </c>
      <c r="J387" s="241">
        <f>J388</f>
        <v>0</v>
      </c>
      <c r="K387" s="139"/>
      <c r="N387" s="141"/>
    </row>
    <row r="388" spans="1:14" s="140" customFormat="1" ht="66" customHeight="1" hidden="1">
      <c r="A388" s="25" t="s">
        <v>913</v>
      </c>
      <c r="B388" s="25" t="s">
        <v>1078</v>
      </c>
      <c r="C388" s="25" t="s">
        <v>71</v>
      </c>
      <c r="D388" s="25" t="s">
        <v>439</v>
      </c>
      <c r="E388" s="276" t="s">
        <v>578</v>
      </c>
      <c r="F388" s="398" t="s">
        <v>1213</v>
      </c>
      <c r="G388" s="305"/>
      <c r="H388" s="305"/>
      <c r="I388" s="305">
        <f t="shared" si="10"/>
        <v>0</v>
      </c>
      <c r="J388" s="241"/>
      <c r="K388" s="139"/>
      <c r="N388" s="141"/>
    </row>
    <row r="389" spans="1:14" s="104" customFormat="1" ht="46.5" customHeight="1">
      <c r="A389" s="102"/>
      <c r="B389" s="102" t="s">
        <v>152</v>
      </c>
      <c r="C389" s="102" t="s">
        <v>152</v>
      </c>
      <c r="D389" s="102"/>
      <c r="E389" s="103" t="s">
        <v>37</v>
      </c>
      <c r="F389" s="166"/>
      <c r="G389" s="83">
        <f>G390</f>
        <v>1030000</v>
      </c>
      <c r="H389" s="83">
        <f>H390</f>
        <v>0</v>
      </c>
      <c r="I389" s="83">
        <f t="shared" si="10"/>
        <v>1030000</v>
      </c>
      <c r="J389" s="144">
        <f>J390</f>
        <v>0</v>
      </c>
      <c r="K389" s="106"/>
      <c r="N389" s="158"/>
    </row>
    <row r="390" spans="1:14" s="104" customFormat="1" ht="36" customHeight="1">
      <c r="A390" s="25" t="s">
        <v>914</v>
      </c>
      <c r="B390" s="25"/>
      <c r="C390" s="25"/>
      <c r="D390" s="25"/>
      <c r="E390" s="212" t="s">
        <v>37</v>
      </c>
      <c r="F390" s="223"/>
      <c r="G390" s="83">
        <f>G391+G394</f>
        <v>1030000</v>
      </c>
      <c r="H390" s="83">
        <f>H391+H394</f>
        <v>0</v>
      </c>
      <c r="I390" s="83">
        <f t="shared" si="10"/>
        <v>1030000</v>
      </c>
      <c r="J390" s="144">
        <f>J391+J394</f>
        <v>0</v>
      </c>
      <c r="K390" s="106"/>
      <c r="N390" s="158"/>
    </row>
    <row r="391" spans="1:14" s="104" customFormat="1" ht="15.75" customHeight="1">
      <c r="A391" s="308" t="s">
        <v>915</v>
      </c>
      <c r="B391" s="308" t="s">
        <v>1060</v>
      </c>
      <c r="C391" s="309" t="s">
        <v>555</v>
      </c>
      <c r="D391" s="309"/>
      <c r="E391" s="281" t="s">
        <v>556</v>
      </c>
      <c r="F391" s="223"/>
      <c r="G391" s="83">
        <f>G392+G393</f>
        <v>1030000</v>
      </c>
      <c r="H391" s="83">
        <f>H392+H393</f>
        <v>0</v>
      </c>
      <c r="I391" s="83">
        <f t="shared" si="10"/>
        <v>1030000</v>
      </c>
      <c r="J391" s="144">
        <f>J392</f>
        <v>0</v>
      </c>
      <c r="K391" s="106"/>
      <c r="N391" s="158"/>
    </row>
    <row r="392" spans="1:14" s="104" customFormat="1" ht="46.5" customHeight="1">
      <c r="A392" s="260" t="s">
        <v>916</v>
      </c>
      <c r="B392" s="260" t="s">
        <v>471</v>
      </c>
      <c r="C392" s="439" t="s">
        <v>165</v>
      </c>
      <c r="D392" s="260" t="s">
        <v>436</v>
      </c>
      <c r="E392" s="277" t="s">
        <v>917</v>
      </c>
      <c r="F392" s="405" t="s">
        <v>1269</v>
      </c>
      <c r="G392" s="367">
        <v>20000</v>
      </c>
      <c r="H392" s="367"/>
      <c r="I392" s="367">
        <f t="shared" si="10"/>
        <v>20000</v>
      </c>
      <c r="J392" s="242"/>
      <c r="K392" s="113"/>
      <c r="N392" s="158"/>
    </row>
    <row r="393" spans="1:14" s="104" customFormat="1" ht="46.5" customHeight="1">
      <c r="A393" s="260" t="s">
        <v>916</v>
      </c>
      <c r="B393" s="260" t="s">
        <v>471</v>
      </c>
      <c r="C393" s="440"/>
      <c r="D393" s="260" t="s">
        <v>436</v>
      </c>
      <c r="E393" s="277" t="s">
        <v>917</v>
      </c>
      <c r="F393" s="396" t="s">
        <v>1212</v>
      </c>
      <c r="G393" s="367">
        <v>1010000</v>
      </c>
      <c r="H393" s="367"/>
      <c r="I393" s="367">
        <f t="shared" si="10"/>
        <v>1010000</v>
      </c>
      <c r="J393" s="242"/>
      <c r="K393" s="113"/>
      <c r="N393" s="158"/>
    </row>
    <row r="394" spans="1:14" s="104" customFormat="1" ht="15.75" customHeight="1" hidden="1">
      <c r="A394" s="308" t="s">
        <v>918</v>
      </c>
      <c r="B394" s="308" t="s">
        <v>1070</v>
      </c>
      <c r="C394" s="308" t="s">
        <v>580</v>
      </c>
      <c r="D394" s="308"/>
      <c r="E394" s="281" t="s">
        <v>581</v>
      </c>
      <c r="F394" s="85"/>
      <c r="G394" s="83">
        <f>G395</f>
        <v>0</v>
      </c>
      <c r="H394" s="83">
        <f>H395</f>
        <v>0</v>
      </c>
      <c r="I394" s="83">
        <f t="shared" si="10"/>
        <v>0</v>
      </c>
      <c r="J394" s="236">
        <f>J395</f>
        <v>0</v>
      </c>
      <c r="K394" s="113"/>
      <c r="N394" s="158"/>
    </row>
    <row r="395" spans="1:14" s="104" customFormat="1" ht="15.75" customHeight="1" hidden="1">
      <c r="A395" s="311" t="s">
        <v>919</v>
      </c>
      <c r="B395" s="311" t="s">
        <v>1071</v>
      </c>
      <c r="C395" s="311" t="s">
        <v>77</v>
      </c>
      <c r="D395" s="311"/>
      <c r="E395" s="350" t="s">
        <v>92</v>
      </c>
      <c r="F395" s="218"/>
      <c r="G395" s="75">
        <f>G396</f>
        <v>0</v>
      </c>
      <c r="H395" s="75">
        <f>H396</f>
        <v>0</v>
      </c>
      <c r="I395" s="75">
        <f t="shared" si="10"/>
        <v>0</v>
      </c>
      <c r="J395" s="236">
        <f>J396</f>
        <v>0</v>
      </c>
      <c r="K395" s="113"/>
      <c r="N395" s="158"/>
    </row>
    <row r="396" spans="1:14" s="104" customFormat="1" ht="76.5" customHeight="1" hidden="1">
      <c r="A396" s="25" t="s">
        <v>920</v>
      </c>
      <c r="B396" s="25" t="s">
        <v>1075</v>
      </c>
      <c r="C396" s="25" t="s">
        <v>77</v>
      </c>
      <c r="D396" s="25" t="s">
        <v>439</v>
      </c>
      <c r="E396" s="276" t="s">
        <v>1173</v>
      </c>
      <c r="F396" s="300" t="s">
        <v>1182</v>
      </c>
      <c r="G396" s="367"/>
      <c r="H396" s="367"/>
      <c r="I396" s="367">
        <f t="shared" si="10"/>
        <v>0</v>
      </c>
      <c r="J396" s="242"/>
      <c r="K396" s="113"/>
      <c r="N396" s="158"/>
    </row>
    <row r="397" spans="1:14" s="104" customFormat="1" ht="47.25" customHeight="1">
      <c r="A397" s="98"/>
      <c r="B397" s="98" t="s">
        <v>193</v>
      </c>
      <c r="C397" s="98" t="s">
        <v>193</v>
      </c>
      <c r="D397" s="98"/>
      <c r="E397" s="99" t="s">
        <v>37</v>
      </c>
      <c r="F397" s="166"/>
      <c r="G397" s="83">
        <f>G398</f>
        <v>2439890</v>
      </c>
      <c r="H397" s="83">
        <f>H398</f>
        <v>5745400</v>
      </c>
      <c r="I397" s="83">
        <f t="shared" si="10"/>
        <v>8185290</v>
      </c>
      <c r="J397" s="144">
        <f>J398</f>
        <v>0</v>
      </c>
      <c r="K397" s="113"/>
      <c r="N397" s="158"/>
    </row>
    <row r="398" spans="1:14" s="104" customFormat="1" ht="33" customHeight="1">
      <c r="A398" s="25" t="s">
        <v>921</v>
      </c>
      <c r="B398" s="25"/>
      <c r="C398" s="25"/>
      <c r="D398" s="25"/>
      <c r="E398" s="348" t="s">
        <v>37</v>
      </c>
      <c r="F398" s="224"/>
      <c r="G398" s="83">
        <f>G399</f>
        <v>2439890</v>
      </c>
      <c r="H398" s="83">
        <f>H399</f>
        <v>5745400</v>
      </c>
      <c r="I398" s="83">
        <f t="shared" si="10"/>
        <v>8185290</v>
      </c>
      <c r="J398" s="144">
        <f>J399</f>
        <v>0</v>
      </c>
      <c r="K398" s="113"/>
      <c r="N398" s="158"/>
    </row>
    <row r="399" spans="1:14" s="104" customFormat="1" ht="21" customHeight="1">
      <c r="A399" s="308" t="s">
        <v>922</v>
      </c>
      <c r="B399" s="308" t="s">
        <v>1070</v>
      </c>
      <c r="C399" s="309" t="s">
        <v>580</v>
      </c>
      <c r="D399" s="309"/>
      <c r="E399" s="352" t="s">
        <v>581</v>
      </c>
      <c r="F399" s="224"/>
      <c r="G399" s="83">
        <f>G400+G401</f>
        <v>2439890</v>
      </c>
      <c r="H399" s="83">
        <f>H400+H401</f>
        <v>5745400</v>
      </c>
      <c r="I399" s="83">
        <f t="shared" si="10"/>
        <v>8185290</v>
      </c>
      <c r="J399" s="144">
        <f>J400+J401</f>
        <v>0</v>
      </c>
      <c r="K399" s="113"/>
      <c r="N399" s="158"/>
    </row>
    <row r="400" spans="1:14" s="104" customFormat="1" ht="99.75" customHeight="1">
      <c r="A400" s="25" t="s">
        <v>923</v>
      </c>
      <c r="B400" s="25" t="s">
        <v>1167</v>
      </c>
      <c r="C400" s="263" t="s">
        <v>101</v>
      </c>
      <c r="D400" s="263" t="s">
        <v>471</v>
      </c>
      <c r="E400" s="276" t="s">
        <v>924</v>
      </c>
      <c r="F400" s="85" t="s">
        <v>1270</v>
      </c>
      <c r="G400" s="75">
        <f>1217890+1222000</f>
        <v>2439890</v>
      </c>
      <c r="H400" s="75">
        <f>6967400-1222000</f>
        <v>5745400</v>
      </c>
      <c r="I400" s="75">
        <f t="shared" si="10"/>
        <v>8185290</v>
      </c>
      <c r="J400" s="236"/>
      <c r="K400" s="106"/>
      <c r="N400" s="158"/>
    </row>
    <row r="401" spans="1:14" s="161" customFormat="1" ht="51.75" customHeight="1" hidden="1">
      <c r="A401" s="263" t="s">
        <v>925</v>
      </c>
      <c r="B401" s="263" t="s">
        <v>1168</v>
      </c>
      <c r="C401" s="263" t="s">
        <v>926</v>
      </c>
      <c r="D401" s="263" t="s">
        <v>471</v>
      </c>
      <c r="E401" s="276" t="s">
        <v>289</v>
      </c>
      <c r="F401" s="405" t="s">
        <v>1251</v>
      </c>
      <c r="G401" s="373"/>
      <c r="H401" s="373"/>
      <c r="I401" s="373">
        <f t="shared" si="10"/>
        <v>0</v>
      </c>
      <c r="J401" s="252"/>
      <c r="K401" s="160"/>
      <c r="N401" s="162"/>
    </row>
    <row r="402" spans="1:14" s="104" customFormat="1" ht="31.5" customHeight="1">
      <c r="A402" s="98"/>
      <c r="B402" s="98" t="s">
        <v>134</v>
      </c>
      <c r="C402" s="98" t="s">
        <v>134</v>
      </c>
      <c r="D402" s="98"/>
      <c r="E402" s="99" t="s">
        <v>501</v>
      </c>
      <c r="F402" s="166"/>
      <c r="G402" s="83">
        <f>G403</f>
        <v>9574863</v>
      </c>
      <c r="H402" s="83">
        <f>H403</f>
        <v>715450</v>
      </c>
      <c r="I402" s="83">
        <f t="shared" si="10"/>
        <v>10290313</v>
      </c>
      <c r="J402" s="144">
        <f>J403</f>
        <v>0</v>
      </c>
      <c r="K402" s="113"/>
      <c r="N402" s="158"/>
    </row>
    <row r="403" spans="1:14" s="104" customFormat="1" ht="30" customHeight="1">
      <c r="A403" s="25" t="s">
        <v>927</v>
      </c>
      <c r="B403" s="25"/>
      <c r="C403" s="25"/>
      <c r="D403" s="25"/>
      <c r="E403" s="212" t="s">
        <v>501</v>
      </c>
      <c r="F403" s="225"/>
      <c r="G403" s="83">
        <f>G404+G407+G412+G414+G421</f>
        <v>9574863</v>
      </c>
      <c r="H403" s="83">
        <f>H404+H407+H412+H414+H421</f>
        <v>715450</v>
      </c>
      <c r="I403" s="83">
        <f t="shared" si="10"/>
        <v>10290313</v>
      </c>
      <c r="J403" s="144">
        <f>J404+J407+J412+J414+J421</f>
        <v>0</v>
      </c>
      <c r="K403" s="113"/>
      <c r="N403" s="158"/>
    </row>
    <row r="404" spans="1:14" s="104" customFormat="1" ht="15.75" customHeight="1">
      <c r="A404" s="309" t="s">
        <v>928</v>
      </c>
      <c r="B404" s="309" t="s">
        <v>1060</v>
      </c>
      <c r="C404" s="309" t="s">
        <v>555</v>
      </c>
      <c r="D404" s="309"/>
      <c r="E404" s="280" t="s">
        <v>556</v>
      </c>
      <c r="F404" s="225"/>
      <c r="G404" s="83">
        <f>G405+G406</f>
        <v>1478830</v>
      </c>
      <c r="H404" s="83">
        <f>H405+H406</f>
        <v>642917</v>
      </c>
      <c r="I404" s="83">
        <f t="shared" si="10"/>
        <v>2121747</v>
      </c>
      <c r="J404" s="144">
        <f>J405</f>
        <v>0</v>
      </c>
      <c r="K404" s="113"/>
      <c r="N404" s="158"/>
    </row>
    <row r="405" spans="1:14" s="104" customFormat="1" ht="65.25" customHeight="1" hidden="1">
      <c r="A405" s="25" t="s">
        <v>929</v>
      </c>
      <c r="B405" s="25" t="s">
        <v>471</v>
      </c>
      <c r="C405" s="25" t="s">
        <v>165</v>
      </c>
      <c r="D405" s="25" t="s">
        <v>436</v>
      </c>
      <c r="E405" s="347" t="s">
        <v>930</v>
      </c>
      <c r="F405" s="405" t="s">
        <v>1276</v>
      </c>
      <c r="G405" s="75"/>
      <c r="H405" s="75"/>
      <c r="I405" s="75">
        <f t="shared" si="10"/>
        <v>0</v>
      </c>
      <c r="J405" s="236"/>
      <c r="K405" s="113"/>
      <c r="N405" s="158"/>
    </row>
    <row r="406" spans="1:14" s="104" customFormat="1" ht="65.25" customHeight="1">
      <c r="A406" s="25" t="s">
        <v>929</v>
      </c>
      <c r="B406" s="337" t="s">
        <v>471</v>
      </c>
      <c r="C406" s="285" t="s">
        <v>165</v>
      </c>
      <c r="D406" s="337" t="s">
        <v>436</v>
      </c>
      <c r="E406" s="206" t="s">
        <v>1181</v>
      </c>
      <c r="F406" s="398" t="s">
        <v>1212</v>
      </c>
      <c r="G406" s="75">
        <f>2121747-642917</f>
        <v>1478830</v>
      </c>
      <c r="H406" s="75">
        <v>642917</v>
      </c>
      <c r="I406" s="75">
        <f t="shared" si="10"/>
        <v>2121747</v>
      </c>
      <c r="J406" s="236"/>
      <c r="K406" s="113"/>
      <c r="N406" s="158"/>
    </row>
    <row r="407" spans="1:14" s="104" customFormat="1" ht="15.75" customHeight="1">
      <c r="A407" s="309" t="s">
        <v>931</v>
      </c>
      <c r="B407" s="309" t="s">
        <v>1146</v>
      </c>
      <c r="C407" s="308" t="s">
        <v>784</v>
      </c>
      <c r="D407" s="308"/>
      <c r="E407" s="281" t="s">
        <v>785</v>
      </c>
      <c r="F407" s="225"/>
      <c r="G407" s="83">
        <f>G408+G409+G410+G411</f>
        <v>7704848</v>
      </c>
      <c r="H407" s="83">
        <f>H408+H409+H410+H411</f>
        <v>72533</v>
      </c>
      <c r="I407" s="83">
        <f t="shared" si="10"/>
        <v>7777381</v>
      </c>
      <c r="J407" s="236">
        <f>J408+J409+J410+J411</f>
        <v>0</v>
      </c>
      <c r="K407" s="113"/>
      <c r="N407" s="158"/>
    </row>
    <row r="408" spans="1:14" s="104" customFormat="1" ht="47.25" customHeight="1">
      <c r="A408" s="341" t="s">
        <v>932</v>
      </c>
      <c r="B408" s="341" t="s">
        <v>1147</v>
      </c>
      <c r="C408" s="327" t="s">
        <v>216</v>
      </c>
      <c r="D408" s="427" t="s">
        <v>464</v>
      </c>
      <c r="E408" s="328" t="s">
        <v>787</v>
      </c>
      <c r="F408" s="405" t="s">
        <v>1241</v>
      </c>
      <c r="G408" s="75">
        <v>4105154</v>
      </c>
      <c r="H408" s="75"/>
      <c r="I408" s="75">
        <f t="shared" si="10"/>
        <v>4105154</v>
      </c>
      <c r="J408" s="236"/>
      <c r="K408" s="113"/>
      <c r="N408" s="158"/>
    </row>
    <row r="409" spans="1:14" s="104" customFormat="1" ht="47.25" hidden="1">
      <c r="A409" s="341" t="s">
        <v>932</v>
      </c>
      <c r="B409" s="341" t="s">
        <v>1147</v>
      </c>
      <c r="C409" s="327" t="s">
        <v>216</v>
      </c>
      <c r="D409" s="427" t="s">
        <v>464</v>
      </c>
      <c r="E409" s="328" t="s">
        <v>787</v>
      </c>
      <c r="F409" s="100" t="s">
        <v>1280</v>
      </c>
      <c r="G409" s="75">
        <f>22232-22232</f>
        <v>0</v>
      </c>
      <c r="H409" s="75"/>
      <c r="I409" s="75">
        <f t="shared" si="10"/>
        <v>0</v>
      </c>
      <c r="J409" s="236"/>
      <c r="K409" s="113"/>
      <c r="N409" s="158"/>
    </row>
    <row r="410" spans="1:15" s="104" customFormat="1" ht="52.5" customHeight="1">
      <c r="A410" s="341" t="s">
        <v>933</v>
      </c>
      <c r="B410" s="341" t="s">
        <v>1155</v>
      </c>
      <c r="C410" s="327" t="s">
        <v>94</v>
      </c>
      <c r="D410" s="431" t="s">
        <v>465</v>
      </c>
      <c r="E410" s="328" t="s">
        <v>95</v>
      </c>
      <c r="F410" s="405" t="s">
        <v>1251</v>
      </c>
      <c r="G410" s="75">
        <f>3614476+22000-12533-28694</f>
        <v>3595249</v>
      </c>
      <c r="H410" s="75">
        <f>20000+12533</f>
        <v>32533</v>
      </c>
      <c r="I410" s="75">
        <f t="shared" si="10"/>
        <v>3627782</v>
      </c>
      <c r="J410" s="236"/>
      <c r="K410" s="106"/>
      <c r="N410" s="114"/>
      <c r="O410" s="115"/>
    </row>
    <row r="411" spans="1:15" s="104" customFormat="1" ht="52.5" customHeight="1">
      <c r="A411" s="341" t="s">
        <v>933</v>
      </c>
      <c r="B411" s="341" t="s">
        <v>1155</v>
      </c>
      <c r="C411" s="327" t="s">
        <v>94</v>
      </c>
      <c r="D411" s="431" t="s">
        <v>465</v>
      </c>
      <c r="E411" s="328" t="s">
        <v>95</v>
      </c>
      <c r="F411" s="100" t="s">
        <v>1280</v>
      </c>
      <c r="G411" s="75">
        <f>5000-555</f>
        <v>4445</v>
      </c>
      <c r="H411" s="75">
        <v>40000</v>
      </c>
      <c r="I411" s="75">
        <f t="shared" si="10"/>
        <v>44445</v>
      </c>
      <c r="J411" s="236"/>
      <c r="K411" s="106"/>
      <c r="N411" s="114"/>
      <c r="O411" s="115"/>
    </row>
    <row r="412" spans="1:15" s="104" customFormat="1" ht="15.75" customHeight="1" hidden="1">
      <c r="A412" s="308" t="s">
        <v>934</v>
      </c>
      <c r="B412" s="308" t="s">
        <v>1065</v>
      </c>
      <c r="C412" s="309" t="s">
        <v>568</v>
      </c>
      <c r="D412" s="309"/>
      <c r="E412" s="353" t="s">
        <v>688</v>
      </c>
      <c r="F412" s="215"/>
      <c r="G412" s="75">
        <f>G413</f>
        <v>0</v>
      </c>
      <c r="H412" s="75">
        <f>H413</f>
        <v>0</v>
      </c>
      <c r="I412" s="75">
        <f t="shared" si="10"/>
        <v>0</v>
      </c>
      <c r="J412" s="236">
        <f>J413</f>
        <v>0</v>
      </c>
      <c r="K412" s="106"/>
      <c r="N412" s="114"/>
      <c r="O412" s="115"/>
    </row>
    <row r="413" spans="1:15" s="104" customFormat="1" ht="52.5" customHeight="1" hidden="1">
      <c r="A413" s="263" t="s">
        <v>935</v>
      </c>
      <c r="B413" s="263" t="s">
        <v>1066</v>
      </c>
      <c r="C413" s="263" t="s">
        <v>84</v>
      </c>
      <c r="D413" s="263" t="s">
        <v>438</v>
      </c>
      <c r="E413" s="347" t="s">
        <v>571</v>
      </c>
      <c r="F413" s="405" t="s">
        <v>1251</v>
      </c>
      <c r="G413" s="75"/>
      <c r="H413" s="75"/>
      <c r="I413" s="75">
        <f t="shared" si="10"/>
        <v>0</v>
      </c>
      <c r="J413" s="236"/>
      <c r="K413" s="106"/>
      <c r="N413" s="114"/>
      <c r="O413" s="115"/>
    </row>
    <row r="414" spans="1:15" s="104" customFormat="1" ht="15.75" customHeight="1">
      <c r="A414" s="309" t="s">
        <v>936</v>
      </c>
      <c r="B414" s="309" t="s">
        <v>1070</v>
      </c>
      <c r="C414" s="309" t="s">
        <v>580</v>
      </c>
      <c r="D414" s="309"/>
      <c r="E414" s="281" t="s">
        <v>581</v>
      </c>
      <c r="F414" s="225"/>
      <c r="G414" s="83">
        <f>G415</f>
        <v>391185</v>
      </c>
      <c r="H414" s="83">
        <f>H415</f>
        <v>0</v>
      </c>
      <c r="I414" s="83">
        <f t="shared" si="10"/>
        <v>391185</v>
      </c>
      <c r="J414" s="236">
        <f>J415</f>
        <v>0</v>
      </c>
      <c r="K414" s="106"/>
      <c r="N414" s="114"/>
      <c r="O414" s="115"/>
    </row>
    <row r="415" spans="1:15" s="104" customFormat="1" ht="15.75" customHeight="1" hidden="1">
      <c r="A415" s="332" t="s">
        <v>937</v>
      </c>
      <c r="B415" s="332" t="s">
        <v>1071</v>
      </c>
      <c r="C415" s="332" t="s">
        <v>77</v>
      </c>
      <c r="D415" s="332"/>
      <c r="E415" s="350" t="s">
        <v>92</v>
      </c>
      <c r="F415" s="225"/>
      <c r="G415" s="75">
        <f>G416+G417+G418+G419+G420</f>
        <v>391185</v>
      </c>
      <c r="H415" s="75">
        <f>H416+H417+H418+H419+H420</f>
        <v>0</v>
      </c>
      <c r="I415" s="75">
        <f t="shared" si="10"/>
        <v>391185</v>
      </c>
      <c r="J415" s="236">
        <f>J416+J417+J418+J419+J420</f>
        <v>0</v>
      </c>
      <c r="K415" s="106"/>
      <c r="N415" s="114"/>
      <c r="O415" s="115"/>
    </row>
    <row r="416" spans="1:15" s="104" customFormat="1" ht="51.75" customHeight="1">
      <c r="A416" s="332" t="s">
        <v>937</v>
      </c>
      <c r="B416" s="332" t="s">
        <v>1071</v>
      </c>
      <c r="C416" s="25" t="s">
        <v>77</v>
      </c>
      <c r="D416" s="263" t="s">
        <v>439</v>
      </c>
      <c r="E416" s="350" t="s">
        <v>92</v>
      </c>
      <c r="F416" s="400" t="s">
        <v>1224</v>
      </c>
      <c r="G416" s="75">
        <v>256309</v>
      </c>
      <c r="H416" s="75"/>
      <c r="I416" s="75">
        <f t="shared" si="10"/>
        <v>256309</v>
      </c>
      <c r="J416" s="236"/>
      <c r="K416" s="106"/>
      <c r="N416" s="114"/>
      <c r="O416" s="115"/>
    </row>
    <row r="417" spans="1:15" s="104" customFormat="1" ht="47.25" customHeight="1" hidden="1">
      <c r="A417" s="332" t="s">
        <v>937</v>
      </c>
      <c r="B417" s="332" t="s">
        <v>1071</v>
      </c>
      <c r="C417" s="260" t="s">
        <v>77</v>
      </c>
      <c r="D417" s="263" t="s">
        <v>439</v>
      </c>
      <c r="E417" s="350" t="s">
        <v>92</v>
      </c>
      <c r="F417" s="287" t="s">
        <v>1176</v>
      </c>
      <c r="G417" s="75"/>
      <c r="H417" s="75"/>
      <c r="I417" s="75">
        <f t="shared" si="10"/>
        <v>0</v>
      </c>
      <c r="J417" s="236"/>
      <c r="K417" s="106"/>
      <c r="N417" s="114"/>
      <c r="O417" s="115"/>
    </row>
    <row r="418" spans="1:15" s="104" customFormat="1" ht="47.25" customHeight="1">
      <c r="A418" s="332" t="s">
        <v>937</v>
      </c>
      <c r="B418" s="332" t="s">
        <v>1071</v>
      </c>
      <c r="C418" s="260" t="s">
        <v>77</v>
      </c>
      <c r="D418" s="263" t="s">
        <v>439</v>
      </c>
      <c r="E418" s="350" t="s">
        <v>92</v>
      </c>
      <c r="F418" s="400" t="s">
        <v>1225</v>
      </c>
      <c r="G418" s="75">
        <v>44235</v>
      </c>
      <c r="H418" s="75"/>
      <c r="I418" s="75">
        <f t="shared" si="10"/>
        <v>44235</v>
      </c>
      <c r="J418" s="236"/>
      <c r="K418" s="106"/>
      <c r="N418" s="114"/>
      <c r="O418" s="115"/>
    </row>
    <row r="419" spans="1:15" s="104" customFormat="1" ht="63" customHeight="1">
      <c r="A419" s="332" t="s">
        <v>937</v>
      </c>
      <c r="B419" s="332" t="s">
        <v>1071</v>
      </c>
      <c r="C419" s="263" t="s">
        <v>77</v>
      </c>
      <c r="D419" s="263" t="s">
        <v>439</v>
      </c>
      <c r="E419" s="350" t="s">
        <v>92</v>
      </c>
      <c r="F419" s="397" t="s">
        <v>1210</v>
      </c>
      <c r="G419" s="75">
        <f>50000+28694</f>
        <v>78694</v>
      </c>
      <c r="H419" s="75"/>
      <c r="I419" s="75">
        <f t="shared" si="10"/>
        <v>78694</v>
      </c>
      <c r="J419" s="236"/>
      <c r="K419" s="106"/>
      <c r="N419" s="114"/>
      <c r="O419" s="115"/>
    </row>
    <row r="420" spans="1:15" s="104" customFormat="1" ht="56.25" customHeight="1">
      <c r="A420" s="332" t="s">
        <v>937</v>
      </c>
      <c r="B420" s="332" t="s">
        <v>1071</v>
      </c>
      <c r="C420" s="263" t="s">
        <v>77</v>
      </c>
      <c r="D420" s="263" t="s">
        <v>439</v>
      </c>
      <c r="E420" s="350" t="s">
        <v>92</v>
      </c>
      <c r="F420" s="400" t="s">
        <v>1226</v>
      </c>
      <c r="G420" s="75">
        <v>11947</v>
      </c>
      <c r="H420" s="75"/>
      <c r="I420" s="75">
        <f t="shared" si="10"/>
        <v>11947</v>
      </c>
      <c r="J420" s="236"/>
      <c r="K420" s="106"/>
      <c r="N420" s="114"/>
      <c r="O420" s="115"/>
    </row>
    <row r="421" spans="1:15" s="104" customFormat="1" ht="15.75" customHeight="1" hidden="1">
      <c r="A421" s="308" t="s">
        <v>1016</v>
      </c>
      <c r="B421" s="308" t="s">
        <v>1076</v>
      </c>
      <c r="C421" s="308" t="s">
        <v>574</v>
      </c>
      <c r="D421" s="308"/>
      <c r="E421" s="351" t="s">
        <v>575</v>
      </c>
      <c r="F421" s="224"/>
      <c r="G421" s="75">
        <f>G422</f>
        <v>0</v>
      </c>
      <c r="H421" s="75">
        <f>H422</f>
        <v>0</v>
      </c>
      <c r="I421" s="75">
        <f t="shared" si="10"/>
        <v>0</v>
      </c>
      <c r="J421" s="236">
        <f>J422</f>
        <v>0</v>
      </c>
      <c r="K421" s="106"/>
      <c r="N421" s="114"/>
      <c r="O421" s="115"/>
    </row>
    <row r="422" spans="1:15" s="104" customFormat="1" ht="60" customHeight="1" hidden="1">
      <c r="A422" s="310" t="s">
        <v>1017</v>
      </c>
      <c r="B422" s="310" t="s">
        <v>1077</v>
      </c>
      <c r="C422" s="313" t="s">
        <v>71</v>
      </c>
      <c r="D422" s="313"/>
      <c r="E422" s="355" t="s">
        <v>221</v>
      </c>
      <c r="F422" s="224"/>
      <c r="G422" s="75">
        <f>G423</f>
        <v>0</v>
      </c>
      <c r="H422" s="75">
        <f>H423</f>
        <v>0</v>
      </c>
      <c r="I422" s="75">
        <f t="shared" si="10"/>
        <v>0</v>
      </c>
      <c r="J422" s="236">
        <f>J423</f>
        <v>0</v>
      </c>
      <c r="K422" s="106"/>
      <c r="N422" s="114"/>
      <c r="O422" s="115"/>
    </row>
    <row r="423" spans="1:14" s="104" customFormat="1" ht="47.25" customHeight="1" hidden="1">
      <c r="A423" s="25" t="s">
        <v>1018</v>
      </c>
      <c r="B423" s="25" t="s">
        <v>1078</v>
      </c>
      <c r="C423" s="25" t="s">
        <v>71</v>
      </c>
      <c r="D423" s="25"/>
      <c r="E423" s="276" t="s">
        <v>578</v>
      </c>
      <c r="F423" s="398" t="s">
        <v>1213</v>
      </c>
      <c r="G423" s="75"/>
      <c r="H423" s="75"/>
      <c r="I423" s="75">
        <f t="shared" si="10"/>
        <v>0</v>
      </c>
      <c r="J423" s="236"/>
      <c r="K423" s="106"/>
      <c r="N423" s="158"/>
    </row>
    <row r="424" spans="1:14" s="104" customFormat="1" ht="31.5" customHeight="1">
      <c r="A424" s="98"/>
      <c r="B424" s="98" t="s">
        <v>135</v>
      </c>
      <c r="C424" s="98" t="s">
        <v>135</v>
      </c>
      <c r="D424" s="98"/>
      <c r="E424" s="99" t="s">
        <v>43</v>
      </c>
      <c r="F424" s="166"/>
      <c r="G424" s="83">
        <f>G425</f>
        <v>4995551</v>
      </c>
      <c r="H424" s="83">
        <f>H425</f>
        <v>6584416</v>
      </c>
      <c r="I424" s="83">
        <f t="shared" si="10"/>
        <v>11579967</v>
      </c>
      <c r="J424" s="144">
        <f>J425</f>
        <v>94830</v>
      </c>
      <c r="K424" s="113"/>
      <c r="N424" s="158"/>
    </row>
    <row r="425" spans="1:14" s="104" customFormat="1" ht="31.5">
      <c r="A425" s="18" t="s">
        <v>939</v>
      </c>
      <c r="B425" s="18"/>
      <c r="C425" s="18"/>
      <c r="D425" s="18"/>
      <c r="E425" s="212" t="s">
        <v>43</v>
      </c>
      <c r="F425" s="225"/>
      <c r="G425" s="83">
        <f>G426+G429+G434+G437+G444</f>
        <v>4995551</v>
      </c>
      <c r="H425" s="83">
        <f>H426+H429+H434+H437+H444</f>
        <v>6584416</v>
      </c>
      <c r="I425" s="83">
        <f t="shared" si="10"/>
        <v>11579967</v>
      </c>
      <c r="J425" s="144">
        <f>J426+J429+J434+J437+J444</f>
        <v>94830</v>
      </c>
      <c r="K425" s="113"/>
      <c r="N425" s="158"/>
    </row>
    <row r="426" spans="1:14" s="104" customFormat="1" ht="15.75" customHeight="1">
      <c r="A426" s="308" t="s">
        <v>940</v>
      </c>
      <c r="B426" s="308" t="s">
        <v>1060</v>
      </c>
      <c r="C426" s="314" t="s">
        <v>784</v>
      </c>
      <c r="D426" s="314"/>
      <c r="E426" s="280" t="s">
        <v>556</v>
      </c>
      <c r="F426" s="225"/>
      <c r="G426" s="83">
        <f>G427+G428</f>
        <v>677948</v>
      </c>
      <c r="H426" s="83">
        <f>H427+H428</f>
        <v>618620</v>
      </c>
      <c r="I426" s="83">
        <f>I427+I428</f>
        <v>1296568</v>
      </c>
      <c r="J426" s="144">
        <f>J427</f>
        <v>0</v>
      </c>
      <c r="K426" s="113"/>
      <c r="N426" s="158"/>
    </row>
    <row r="427" spans="1:14" s="140" customFormat="1" ht="60" customHeight="1">
      <c r="A427" s="263" t="s">
        <v>941</v>
      </c>
      <c r="B427" s="263" t="s">
        <v>471</v>
      </c>
      <c r="C427" s="315" t="s">
        <v>165</v>
      </c>
      <c r="D427" s="263" t="s">
        <v>436</v>
      </c>
      <c r="E427" s="347" t="s">
        <v>930</v>
      </c>
      <c r="F427" s="405" t="s">
        <v>1276</v>
      </c>
      <c r="G427" s="75"/>
      <c r="H427" s="75">
        <v>100000</v>
      </c>
      <c r="I427" s="75">
        <f t="shared" si="10"/>
        <v>100000</v>
      </c>
      <c r="J427" s="236"/>
      <c r="K427" s="139"/>
      <c r="N427" s="141"/>
    </row>
    <row r="428" spans="1:14" s="140" customFormat="1" ht="60" customHeight="1">
      <c r="A428" s="263" t="s">
        <v>941</v>
      </c>
      <c r="B428" s="337" t="s">
        <v>471</v>
      </c>
      <c r="C428" s="285" t="s">
        <v>165</v>
      </c>
      <c r="D428" s="337" t="s">
        <v>436</v>
      </c>
      <c r="E428" s="347" t="s">
        <v>930</v>
      </c>
      <c r="F428" s="398" t="s">
        <v>1212</v>
      </c>
      <c r="G428" s="75">
        <f>1196568-518620</f>
        <v>677948</v>
      </c>
      <c r="H428" s="75">
        <f>518620</f>
        <v>518620</v>
      </c>
      <c r="I428" s="75">
        <f t="shared" si="10"/>
        <v>1196568</v>
      </c>
      <c r="J428" s="236"/>
      <c r="K428" s="139"/>
      <c r="N428" s="141"/>
    </row>
    <row r="429" spans="1:14" s="140" customFormat="1" ht="15.75" customHeight="1">
      <c r="A429" s="309" t="s">
        <v>942</v>
      </c>
      <c r="B429" s="309" t="s">
        <v>1146</v>
      </c>
      <c r="C429" s="308" t="s">
        <v>784</v>
      </c>
      <c r="D429" s="308"/>
      <c r="E429" s="281" t="s">
        <v>785</v>
      </c>
      <c r="F429" s="225"/>
      <c r="G429" s="83">
        <f>G430+G432+G433+G431</f>
        <v>4154046</v>
      </c>
      <c r="H429" s="83">
        <f>H430+H432+H433+H431</f>
        <v>794830</v>
      </c>
      <c r="I429" s="83">
        <f>G429+H429</f>
        <v>4948876</v>
      </c>
      <c r="J429" s="236">
        <f>J430+J432+J433</f>
        <v>94830</v>
      </c>
      <c r="K429" s="139"/>
      <c r="N429" s="141"/>
    </row>
    <row r="430" spans="1:14" s="140" customFormat="1" ht="45.75" customHeight="1">
      <c r="A430" s="311" t="s">
        <v>943</v>
      </c>
      <c r="B430" s="311" t="s">
        <v>1147</v>
      </c>
      <c r="C430" s="311" t="s">
        <v>216</v>
      </c>
      <c r="D430" s="311" t="s">
        <v>464</v>
      </c>
      <c r="E430" s="333" t="s">
        <v>787</v>
      </c>
      <c r="F430" s="405" t="s">
        <v>1241</v>
      </c>
      <c r="G430" s="75">
        <f>2749802-49998+10479</f>
        <v>2710283</v>
      </c>
      <c r="H430" s="75"/>
      <c r="I430" s="75">
        <f t="shared" si="10"/>
        <v>2710283</v>
      </c>
      <c r="J430" s="236"/>
      <c r="K430" s="139"/>
      <c r="N430" s="141"/>
    </row>
    <row r="431" spans="1:14" s="140" customFormat="1" ht="45.75" customHeight="1">
      <c r="A431" s="311" t="s">
        <v>943</v>
      </c>
      <c r="B431" s="311" t="s">
        <v>1147</v>
      </c>
      <c r="C431" s="311" t="s">
        <v>216</v>
      </c>
      <c r="D431" s="311" t="s">
        <v>464</v>
      </c>
      <c r="E431" s="333" t="s">
        <v>787</v>
      </c>
      <c r="F431" s="100" t="s">
        <v>1280</v>
      </c>
      <c r="G431" s="372">
        <f>200000+40000+52000+31538+50000</f>
        <v>373538</v>
      </c>
      <c r="H431" s="372"/>
      <c r="I431" s="75">
        <f t="shared" si="10"/>
        <v>373538</v>
      </c>
      <c r="J431" s="236"/>
      <c r="K431" s="139"/>
      <c r="N431" s="141"/>
    </row>
    <row r="432" spans="1:15" s="104" customFormat="1" ht="51" customHeight="1">
      <c r="A432" s="278" t="s">
        <v>944</v>
      </c>
      <c r="B432" s="278" t="s">
        <v>1155</v>
      </c>
      <c r="C432" s="278" t="s">
        <v>94</v>
      </c>
      <c r="D432" s="278" t="s">
        <v>465</v>
      </c>
      <c r="E432" s="279" t="s">
        <v>95</v>
      </c>
      <c r="F432" s="405" t="s">
        <v>1251</v>
      </c>
      <c r="G432" s="372">
        <f>1330706+49998-10479-300000</f>
        <v>1070225</v>
      </c>
      <c r="H432" s="372">
        <f>94830+300000+(100000)</f>
        <v>494830</v>
      </c>
      <c r="I432" s="372">
        <f t="shared" si="10"/>
        <v>1565055</v>
      </c>
      <c r="J432" s="236">
        <v>94830</v>
      </c>
      <c r="K432" s="113"/>
      <c r="N432" s="114"/>
      <c r="O432" s="115"/>
    </row>
    <row r="433" spans="1:15" s="104" customFormat="1" ht="51" customHeight="1">
      <c r="A433" s="278" t="s">
        <v>944</v>
      </c>
      <c r="B433" s="278" t="s">
        <v>1155</v>
      </c>
      <c r="C433" s="278" t="s">
        <v>1020</v>
      </c>
      <c r="D433" s="278" t="s">
        <v>1254</v>
      </c>
      <c r="E433" s="279" t="s">
        <v>95</v>
      </c>
      <c r="F433" s="100" t="s">
        <v>1280</v>
      </c>
      <c r="G433" s="372"/>
      <c r="H433" s="372">
        <f>100000+200000</f>
        <v>300000</v>
      </c>
      <c r="I433" s="372">
        <f aca="true" t="shared" si="11" ref="I433:I504">G433+H433</f>
        <v>300000</v>
      </c>
      <c r="J433" s="236"/>
      <c r="K433" s="113"/>
      <c r="N433" s="114"/>
      <c r="O433" s="115"/>
    </row>
    <row r="434" spans="1:15" s="104" customFormat="1" ht="15.75" customHeight="1">
      <c r="A434" s="308" t="s">
        <v>945</v>
      </c>
      <c r="B434" s="308" t="s">
        <v>1065</v>
      </c>
      <c r="C434" s="309" t="s">
        <v>568</v>
      </c>
      <c r="D434" s="309"/>
      <c r="E434" s="280" t="s">
        <v>688</v>
      </c>
      <c r="F434" s="215"/>
      <c r="G434" s="385">
        <f>G435</f>
        <v>0</v>
      </c>
      <c r="H434" s="385">
        <f>H435+H436</f>
        <v>5170966</v>
      </c>
      <c r="I434" s="385">
        <f t="shared" si="11"/>
        <v>5170966</v>
      </c>
      <c r="J434" s="236">
        <f>J435</f>
        <v>0</v>
      </c>
      <c r="K434" s="113"/>
      <c r="N434" s="114"/>
      <c r="O434" s="115"/>
    </row>
    <row r="435" spans="1:15" s="104" customFormat="1" ht="47.25" customHeight="1">
      <c r="A435" s="263" t="s">
        <v>946</v>
      </c>
      <c r="B435" s="263" t="s">
        <v>1066</v>
      </c>
      <c r="C435" s="25" t="s">
        <v>84</v>
      </c>
      <c r="D435" s="25" t="s">
        <v>438</v>
      </c>
      <c r="E435" s="347" t="s">
        <v>571</v>
      </c>
      <c r="F435" s="412" t="s">
        <v>1251</v>
      </c>
      <c r="G435" s="75"/>
      <c r="H435" s="75">
        <f>6000000+577500-3000000+1000000</f>
        <v>4577500</v>
      </c>
      <c r="I435" s="75">
        <f t="shared" si="11"/>
        <v>4577500</v>
      </c>
      <c r="J435" s="236"/>
      <c r="K435" s="113"/>
      <c r="N435" s="114"/>
      <c r="O435" s="115"/>
    </row>
    <row r="436" spans="1:15" s="104" customFormat="1" ht="47.25" customHeight="1">
      <c r="A436" s="263" t="s">
        <v>946</v>
      </c>
      <c r="B436" s="263" t="s">
        <v>1066</v>
      </c>
      <c r="C436" s="25" t="s">
        <v>84</v>
      </c>
      <c r="D436" s="25" t="s">
        <v>438</v>
      </c>
      <c r="E436" s="347" t="s">
        <v>571</v>
      </c>
      <c r="F436" s="405" t="s">
        <v>1276</v>
      </c>
      <c r="G436" s="75"/>
      <c r="H436" s="75">
        <v>593466</v>
      </c>
      <c r="I436" s="75">
        <f t="shared" si="11"/>
        <v>593466</v>
      </c>
      <c r="J436" s="236"/>
      <c r="K436" s="113"/>
      <c r="N436" s="114"/>
      <c r="O436" s="115"/>
    </row>
    <row r="437" spans="1:14" s="104" customFormat="1" ht="15.75" customHeight="1">
      <c r="A437" s="309" t="s">
        <v>960</v>
      </c>
      <c r="B437" s="309" t="s">
        <v>1070</v>
      </c>
      <c r="C437" s="309" t="s">
        <v>580</v>
      </c>
      <c r="D437" s="309"/>
      <c r="E437" s="281" t="s">
        <v>581</v>
      </c>
      <c r="F437" s="225"/>
      <c r="G437" s="83">
        <f>G438</f>
        <v>163557</v>
      </c>
      <c r="H437" s="83">
        <f>H438</f>
        <v>0</v>
      </c>
      <c r="I437" s="83">
        <f t="shared" si="11"/>
        <v>163557</v>
      </c>
      <c r="J437" s="236">
        <f>J438</f>
        <v>0</v>
      </c>
      <c r="K437" s="113"/>
      <c r="N437" s="158"/>
    </row>
    <row r="438" spans="1:14" s="104" customFormat="1" ht="15.75" customHeight="1" hidden="1">
      <c r="A438" s="332" t="s">
        <v>961</v>
      </c>
      <c r="B438" s="332" t="s">
        <v>1071</v>
      </c>
      <c r="C438" s="332" t="s">
        <v>77</v>
      </c>
      <c r="D438" s="332"/>
      <c r="E438" s="388" t="s">
        <v>92</v>
      </c>
      <c r="F438" s="225"/>
      <c r="G438" s="75">
        <f>G439+G440+G441+G442+G443</f>
        <v>163557</v>
      </c>
      <c r="H438" s="75">
        <f>H439+H440+H441+H442+H443</f>
        <v>0</v>
      </c>
      <c r="I438" s="75">
        <f t="shared" si="11"/>
        <v>163557</v>
      </c>
      <c r="J438" s="236">
        <f>J439+J440+J441+J442+J443</f>
        <v>0</v>
      </c>
      <c r="K438" s="113"/>
      <c r="N438" s="158"/>
    </row>
    <row r="439" spans="1:14" s="104" customFormat="1" ht="49.5" customHeight="1">
      <c r="A439" s="332" t="s">
        <v>961</v>
      </c>
      <c r="B439" s="332" t="s">
        <v>1071</v>
      </c>
      <c r="C439" s="25" t="s">
        <v>77</v>
      </c>
      <c r="D439" s="263" t="s">
        <v>439</v>
      </c>
      <c r="E439" s="388" t="s">
        <v>92</v>
      </c>
      <c r="F439" s="400" t="s">
        <v>1224</v>
      </c>
      <c r="G439" s="75">
        <v>38400</v>
      </c>
      <c r="H439" s="75"/>
      <c r="I439" s="75">
        <f t="shared" si="11"/>
        <v>38400</v>
      </c>
      <c r="J439" s="236"/>
      <c r="K439" s="113"/>
      <c r="N439" s="158"/>
    </row>
    <row r="440" spans="1:14" s="104" customFormat="1" ht="47.25" customHeight="1" hidden="1">
      <c r="A440" s="332" t="s">
        <v>961</v>
      </c>
      <c r="B440" s="332" t="s">
        <v>1071</v>
      </c>
      <c r="C440" s="260" t="s">
        <v>77</v>
      </c>
      <c r="D440" s="263" t="s">
        <v>439</v>
      </c>
      <c r="E440" s="388" t="s">
        <v>92</v>
      </c>
      <c r="F440" s="287" t="s">
        <v>1176</v>
      </c>
      <c r="G440" s="75"/>
      <c r="H440" s="75"/>
      <c r="I440" s="75">
        <f t="shared" si="11"/>
        <v>0</v>
      </c>
      <c r="J440" s="236"/>
      <c r="K440" s="113"/>
      <c r="N440" s="158"/>
    </row>
    <row r="441" spans="1:14" s="104" customFormat="1" ht="47.25" customHeight="1">
      <c r="A441" s="332" t="s">
        <v>961</v>
      </c>
      <c r="B441" s="332" t="s">
        <v>1071</v>
      </c>
      <c r="C441" s="260" t="s">
        <v>77</v>
      </c>
      <c r="D441" s="263" t="s">
        <v>439</v>
      </c>
      <c r="E441" s="388" t="s">
        <v>92</v>
      </c>
      <c r="F441" s="400" t="s">
        <v>1225</v>
      </c>
      <c r="G441" s="75">
        <v>56738</v>
      </c>
      <c r="H441" s="75"/>
      <c r="I441" s="75">
        <f t="shared" si="11"/>
        <v>56738</v>
      </c>
      <c r="J441" s="236"/>
      <c r="K441" s="113"/>
      <c r="N441" s="158"/>
    </row>
    <row r="442" spans="1:14" s="104" customFormat="1" ht="63" customHeight="1">
      <c r="A442" s="332" t="s">
        <v>961</v>
      </c>
      <c r="B442" s="332" t="s">
        <v>1071</v>
      </c>
      <c r="C442" s="263" t="s">
        <v>77</v>
      </c>
      <c r="D442" s="263" t="s">
        <v>439</v>
      </c>
      <c r="E442" s="388" t="s">
        <v>92</v>
      </c>
      <c r="F442" s="398" t="s">
        <v>1210</v>
      </c>
      <c r="G442" s="75">
        <v>49999</v>
      </c>
      <c r="H442" s="75"/>
      <c r="I442" s="75">
        <f t="shared" si="11"/>
        <v>49999</v>
      </c>
      <c r="J442" s="236"/>
      <c r="K442" s="113"/>
      <c r="N442" s="158"/>
    </row>
    <row r="443" spans="1:14" s="104" customFormat="1" ht="54" customHeight="1">
      <c r="A443" s="332" t="s">
        <v>961</v>
      </c>
      <c r="B443" s="332" t="s">
        <v>1071</v>
      </c>
      <c r="C443" s="263" t="s">
        <v>77</v>
      </c>
      <c r="D443" s="263" t="s">
        <v>439</v>
      </c>
      <c r="E443" s="388" t="s">
        <v>92</v>
      </c>
      <c r="F443" s="400" t="s">
        <v>1226</v>
      </c>
      <c r="G443" s="75">
        <v>18420</v>
      </c>
      <c r="H443" s="75"/>
      <c r="I443" s="75">
        <f t="shared" si="11"/>
        <v>18420</v>
      </c>
      <c r="J443" s="236"/>
      <c r="K443" s="113"/>
      <c r="N443" s="158"/>
    </row>
    <row r="444" spans="1:14" s="104" customFormat="1" ht="15.75" customHeight="1" hidden="1">
      <c r="A444" s="308" t="s">
        <v>947</v>
      </c>
      <c r="B444" s="308" t="s">
        <v>1076</v>
      </c>
      <c r="C444" s="308" t="s">
        <v>574</v>
      </c>
      <c r="D444" s="308"/>
      <c r="E444" s="281" t="s">
        <v>575</v>
      </c>
      <c r="F444" s="230"/>
      <c r="G444" s="75">
        <f>G445</f>
        <v>0</v>
      </c>
      <c r="H444" s="75">
        <f>H445</f>
        <v>0</v>
      </c>
      <c r="I444" s="75">
        <f t="shared" si="11"/>
        <v>0</v>
      </c>
      <c r="J444" s="236">
        <f>J445</f>
        <v>0</v>
      </c>
      <c r="K444" s="113"/>
      <c r="N444" s="158"/>
    </row>
    <row r="445" spans="1:14" s="104" customFormat="1" ht="69.75" customHeight="1" hidden="1">
      <c r="A445" s="311" t="s">
        <v>948</v>
      </c>
      <c r="B445" s="311" t="s">
        <v>1077</v>
      </c>
      <c r="C445" s="332" t="s">
        <v>71</v>
      </c>
      <c r="D445" s="332"/>
      <c r="E445" s="333" t="s">
        <v>221</v>
      </c>
      <c r="F445" s="230"/>
      <c r="G445" s="75">
        <f>G446</f>
        <v>0</v>
      </c>
      <c r="H445" s="75">
        <f>H446</f>
        <v>0</v>
      </c>
      <c r="I445" s="75">
        <f t="shared" si="11"/>
        <v>0</v>
      </c>
      <c r="J445" s="236">
        <f>J446</f>
        <v>0</v>
      </c>
      <c r="K445" s="113"/>
      <c r="N445" s="158"/>
    </row>
    <row r="446" spans="1:14" s="104" customFormat="1" ht="47.25" customHeight="1" hidden="1">
      <c r="A446" s="25" t="s">
        <v>949</v>
      </c>
      <c r="B446" s="25" t="s">
        <v>1078</v>
      </c>
      <c r="C446" s="25" t="s">
        <v>71</v>
      </c>
      <c r="D446" s="25" t="s">
        <v>439</v>
      </c>
      <c r="E446" s="276" t="s">
        <v>578</v>
      </c>
      <c r="F446" s="398" t="s">
        <v>1213</v>
      </c>
      <c r="G446" s="75"/>
      <c r="H446" s="75"/>
      <c r="I446" s="75">
        <f t="shared" si="11"/>
        <v>0</v>
      </c>
      <c r="J446" s="236"/>
      <c r="K446" s="113"/>
      <c r="N446" s="158"/>
    </row>
    <row r="447" spans="1:14" s="104" customFormat="1" ht="31.5" customHeight="1">
      <c r="A447" s="98"/>
      <c r="B447" s="98" t="s">
        <v>136</v>
      </c>
      <c r="C447" s="98" t="s">
        <v>136</v>
      </c>
      <c r="D447" s="98"/>
      <c r="E447" s="99" t="s">
        <v>502</v>
      </c>
      <c r="F447" s="166"/>
      <c r="G447" s="83">
        <f>G448</f>
        <v>4942459</v>
      </c>
      <c r="H447" s="83">
        <f>H448</f>
        <v>14436696</v>
      </c>
      <c r="I447" s="83">
        <f t="shared" si="11"/>
        <v>19379155</v>
      </c>
      <c r="J447" s="144">
        <f>J448</f>
        <v>220952</v>
      </c>
      <c r="K447" s="113"/>
      <c r="N447" s="158"/>
    </row>
    <row r="448" spans="1:14" s="104" customFormat="1" ht="39" customHeight="1">
      <c r="A448" s="25" t="s">
        <v>950</v>
      </c>
      <c r="B448" s="25"/>
      <c r="C448" s="25"/>
      <c r="D448" s="25"/>
      <c r="E448" s="212" t="s">
        <v>951</v>
      </c>
      <c r="F448" s="230"/>
      <c r="G448" s="83">
        <f>G449+G452+G456+G459+G466</f>
        <v>4942459</v>
      </c>
      <c r="H448" s="83">
        <f>H449+H452+H456+H459+H466</f>
        <v>14436696</v>
      </c>
      <c r="I448" s="83">
        <f t="shared" si="11"/>
        <v>19379155</v>
      </c>
      <c r="J448" s="144">
        <f>J449+J452+J456+J459+J466</f>
        <v>220952</v>
      </c>
      <c r="K448" s="113"/>
      <c r="N448" s="158"/>
    </row>
    <row r="449" spans="1:14" s="104" customFormat="1" ht="15.75" customHeight="1">
      <c r="A449" s="309" t="s">
        <v>952</v>
      </c>
      <c r="B449" s="309" t="s">
        <v>1060</v>
      </c>
      <c r="C449" s="309" t="s">
        <v>555</v>
      </c>
      <c r="D449" s="309"/>
      <c r="E449" s="280" t="s">
        <v>556</v>
      </c>
      <c r="F449" s="230"/>
      <c r="G449" s="83">
        <f>G450+G451</f>
        <v>923356</v>
      </c>
      <c r="H449" s="83">
        <f>H450+H451</f>
        <v>579141</v>
      </c>
      <c r="I449" s="83">
        <f>I450+I451</f>
        <v>1502497</v>
      </c>
      <c r="J449" s="144">
        <f>J450</f>
        <v>0</v>
      </c>
      <c r="K449" s="113"/>
      <c r="N449" s="158"/>
    </row>
    <row r="450" spans="1:14" s="104" customFormat="1" ht="61.5" customHeight="1">
      <c r="A450" s="25" t="s">
        <v>953</v>
      </c>
      <c r="B450" s="25" t="s">
        <v>471</v>
      </c>
      <c r="C450" s="316" t="s">
        <v>165</v>
      </c>
      <c r="D450" s="25" t="s">
        <v>436</v>
      </c>
      <c r="E450" s="347" t="s">
        <v>930</v>
      </c>
      <c r="F450" s="405" t="s">
        <v>1276</v>
      </c>
      <c r="G450" s="75"/>
      <c r="H450" s="75">
        <v>65008</v>
      </c>
      <c r="I450" s="75">
        <f t="shared" si="11"/>
        <v>65008</v>
      </c>
      <c r="J450" s="236"/>
      <c r="K450" s="113"/>
      <c r="N450" s="158"/>
    </row>
    <row r="451" spans="1:14" s="104" customFormat="1" ht="63">
      <c r="A451" s="25" t="s">
        <v>953</v>
      </c>
      <c r="B451" s="337" t="s">
        <v>471</v>
      </c>
      <c r="C451" s="285" t="s">
        <v>165</v>
      </c>
      <c r="D451" s="337" t="s">
        <v>436</v>
      </c>
      <c r="E451" s="347" t="s">
        <v>930</v>
      </c>
      <c r="F451" s="398" t="s">
        <v>1212</v>
      </c>
      <c r="G451" s="75">
        <f>1437489-514133</f>
        <v>923356</v>
      </c>
      <c r="H451" s="75">
        <f>514133</f>
        <v>514133</v>
      </c>
      <c r="I451" s="75">
        <f t="shared" si="11"/>
        <v>1437489</v>
      </c>
      <c r="J451" s="236"/>
      <c r="K451" s="113"/>
      <c r="N451" s="158"/>
    </row>
    <row r="452" spans="1:14" s="104" customFormat="1" ht="15.75">
      <c r="A452" s="309" t="s">
        <v>954</v>
      </c>
      <c r="B452" s="309" t="s">
        <v>1146</v>
      </c>
      <c r="C452" s="309" t="s">
        <v>784</v>
      </c>
      <c r="D452" s="309"/>
      <c r="E452" s="281" t="s">
        <v>785</v>
      </c>
      <c r="F452" s="230"/>
      <c r="G452" s="83">
        <f>G453+G454+G455</f>
        <v>3657615</v>
      </c>
      <c r="H452" s="83">
        <f>H453+H454+H455</f>
        <v>1399564</v>
      </c>
      <c r="I452" s="83">
        <f>G452+H452</f>
        <v>5057179</v>
      </c>
      <c r="J452" s="236">
        <f>J453+J454</f>
        <v>220952</v>
      </c>
      <c r="K452" s="113"/>
      <c r="N452" s="158"/>
    </row>
    <row r="453" spans="1:14" s="330" customFormat="1" ht="49.5" customHeight="1">
      <c r="A453" s="311" t="s">
        <v>955</v>
      </c>
      <c r="B453" s="311" t="s">
        <v>1147</v>
      </c>
      <c r="C453" s="311" t="s">
        <v>216</v>
      </c>
      <c r="D453" s="311" t="s">
        <v>464</v>
      </c>
      <c r="E453" s="333" t="s">
        <v>787</v>
      </c>
      <c r="F453" s="405" t="s">
        <v>1241</v>
      </c>
      <c r="G453" s="366">
        <f>2016970-25974</f>
        <v>1990996</v>
      </c>
      <c r="H453" s="366"/>
      <c r="I453" s="366">
        <f t="shared" si="11"/>
        <v>1990996</v>
      </c>
      <c r="J453" s="251"/>
      <c r="K453" s="329"/>
      <c r="N453" s="331"/>
    </row>
    <row r="454" spans="1:15" s="104" customFormat="1" ht="52.5" customHeight="1">
      <c r="A454" s="25" t="s">
        <v>956</v>
      </c>
      <c r="B454" s="25" t="s">
        <v>1155</v>
      </c>
      <c r="C454" s="25" t="s">
        <v>94</v>
      </c>
      <c r="D454" s="25" t="s">
        <v>465</v>
      </c>
      <c r="E454" s="348" t="s">
        <v>95</v>
      </c>
      <c r="F454" s="405" t="s">
        <v>1251</v>
      </c>
      <c r="G454" s="75">
        <f>1558746+71040+17683</f>
        <v>1647469</v>
      </c>
      <c r="H454" s="75">
        <f>220952+530490+88463+461723+97936</f>
        <v>1399564</v>
      </c>
      <c r="I454" s="75">
        <f t="shared" si="11"/>
        <v>3047033</v>
      </c>
      <c r="J454" s="236">
        <v>220952</v>
      </c>
      <c r="K454" s="113"/>
      <c r="N454" s="114"/>
      <c r="O454" s="115"/>
    </row>
    <row r="455" spans="1:15" s="104" customFormat="1" ht="52.5" customHeight="1">
      <c r="A455" s="25" t="s">
        <v>956</v>
      </c>
      <c r="B455" s="25" t="s">
        <v>1155</v>
      </c>
      <c r="C455" s="25" t="s">
        <v>94</v>
      </c>
      <c r="D455" s="25" t="s">
        <v>465</v>
      </c>
      <c r="E455" s="348" t="s">
        <v>95</v>
      </c>
      <c r="F455" s="405" t="s">
        <v>1279</v>
      </c>
      <c r="G455" s="75">
        <v>19150</v>
      </c>
      <c r="H455" s="75"/>
      <c r="I455" s="75">
        <f t="shared" si="11"/>
        <v>19150</v>
      </c>
      <c r="J455" s="236"/>
      <c r="K455" s="113"/>
      <c r="N455" s="114"/>
      <c r="O455" s="115"/>
    </row>
    <row r="456" spans="1:15" s="104" customFormat="1" ht="15.75" customHeight="1">
      <c r="A456" s="308" t="s">
        <v>957</v>
      </c>
      <c r="B456" s="308" t="s">
        <v>1065</v>
      </c>
      <c r="C456" s="309" t="s">
        <v>568</v>
      </c>
      <c r="D456" s="309"/>
      <c r="E456" s="353" t="s">
        <v>688</v>
      </c>
      <c r="F456" s="230"/>
      <c r="G456" s="83">
        <f>G457+G458</f>
        <v>0</v>
      </c>
      <c r="H456" s="83">
        <f>H457+H458</f>
        <v>8707991</v>
      </c>
      <c r="I456" s="83">
        <f t="shared" si="11"/>
        <v>8707991</v>
      </c>
      <c r="J456" s="236">
        <f>J457+J458</f>
        <v>0</v>
      </c>
      <c r="K456" s="113"/>
      <c r="N456" s="114"/>
      <c r="O456" s="115"/>
    </row>
    <row r="457" spans="1:14" s="104" customFormat="1" ht="47.25" customHeight="1">
      <c r="A457" s="260" t="s">
        <v>958</v>
      </c>
      <c r="B457" s="260" t="s">
        <v>1066</v>
      </c>
      <c r="C457" s="260" t="s">
        <v>84</v>
      </c>
      <c r="D457" s="439" t="s">
        <v>438</v>
      </c>
      <c r="E457" s="277" t="s">
        <v>571</v>
      </c>
      <c r="F457" s="405" t="s">
        <v>1251</v>
      </c>
      <c r="G457" s="75"/>
      <c r="H457" s="75">
        <f>7830239+2170416+299800+317040-299800-1804000+1219+193077</f>
        <v>8707991</v>
      </c>
      <c r="I457" s="75">
        <f t="shared" si="11"/>
        <v>8707991</v>
      </c>
      <c r="J457" s="236"/>
      <c r="K457" s="113"/>
      <c r="N457" s="158"/>
    </row>
    <row r="458" spans="1:14" s="104" customFormat="1" ht="47.25" customHeight="1" hidden="1">
      <c r="A458" s="260" t="s">
        <v>958</v>
      </c>
      <c r="B458" s="260" t="s">
        <v>1066</v>
      </c>
      <c r="C458" s="260" t="s">
        <v>84</v>
      </c>
      <c r="D458" s="440"/>
      <c r="E458" s="277" t="s">
        <v>571</v>
      </c>
      <c r="F458" s="193" t="s">
        <v>527</v>
      </c>
      <c r="G458" s="75"/>
      <c r="H458" s="75"/>
      <c r="I458" s="75">
        <f t="shared" si="11"/>
        <v>0</v>
      </c>
      <c r="J458" s="236"/>
      <c r="K458" s="113"/>
      <c r="N458" s="158"/>
    </row>
    <row r="459" spans="1:14" s="104" customFormat="1" ht="15.75" customHeight="1">
      <c r="A459" s="309" t="s">
        <v>973</v>
      </c>
      <c r="B459" s="309" t="s">
        <v>1070</v>
      </c>
      <c r="C459" s="309" t="s">
        <v>580</v>
      </c>
      <c r="D459" s="309"/>
      <c r="E459" s="281" t="s">
        <v>581</v>
      </c>
      <c r="F459" s="230"/>
      <c r="G459" s="83">
        <f>G460</f>
        <v>361488</v>
      </c>
      <c r="H459" s="83">
        <f>H460</f>
        <v>0</v>
      </c>
      <c r="I459" s="83">
        <f t="shared" si="11"/>
        <v>361488</v>
      </c>
      <c r="J459" s="236">
        <f>J460</f>
        <v>0</v>
      </c>
      <c r="K459" s="113"/>
      <c r="N459" s="158"/>
    </row>
    <row r="460" spans="1:14" s="104" customFormat="1" ht="15.75" customHeight="1" hidden="1">
      <c r="A460" s="332" t="s">
        <v>959</v>
      </c>
      <c r="B460" s="332" t="s">
        <v>1071</v>
      </c>
      <c r="C460" s="332" t="s">
        <v>77</v>
      </c>
      <c r="D460" s="332"/>
      <c r="E460" s="350" t="s">
        <v>92</v>
      </c>
      <c r="F460" s="230"/>
      <c r="G460" s="75">
        <f>G461+G462+G463+G464+G465</f>
        <v>361488</v>
      </c>
      <c r="H460" s="75">
        <f>H461+H462+H463+H464+H465</f>
        <v>0</v>
      </c>
      <c r="I460" s="75">
        <f t="shared" si="11"/>
        <v>361488</v>
      </c>
      <c r="J460" s="236">
        <f>J461+J462+J463+J464+J465</f>
        <v>0</v>
      </c>
      <c r="K460" s="113"/>
      <c r="N460" s="158"/>
    </row>
    <row r="461" spans="1:14" s="104" customFormat="1" ht="48.75" customHeight="1">
      <c r="A461" s="332" t="s">
        <v>959</v>
      </c>
      <c r="B461" s="332" t="s">
        <v>1071</v>
      </c>
      <c r="C461" s="25" t="s">
        <v>77</v>
      </c>
      <c r="D461" s="263" t="s">
        <v>439</v>
      </c>
      <c r="E461" s="350" t="s">
        <v>92</v>
      </c>
      <c r="F461" s="400" t="s">
        <v>1228</v>
      </c>
      <c r="G461" s="75">
        <v>211200</v>
      </c>
      <c r="H461" s="75"/>
      <c r="I461" s="75">
        <f t="shared" si="11"/>
        <v>211200</v>
      </c>
      <c r="J461" s="236"/>
      <c r="K461" s="113"/>
      <c r="N461" s="158"/>
    </row>
    <row r="462" spans="1:14" s="104" customFormat="1" ht="47.25" customHeight="1" hidden="1">
      <c r="A462" s="332" t="s">
        <v>959</v>
      </c>
      <c r="B462" s="332" t="s">
        <v>1071</v>
      </c>
      <c r="C462" s="25" t="s">
        <v>77</v>
      </c>
      <c r="D462" s="263" t="s">
        <v>439</v>
      </c>
      <c r="E462" s="350" t="s">
        <v>92</v>
      </c>
      <c r="F462" s="287" t="s">
        <v>1176</v>
      </c>
      <c r="G462" s="75"/>
      <c r="H462" s="75"/>
      <c r="I462" s="75">
        <f t="shared" si="11"/>
        <v>0</v>
      </c>
      <c r="J462" s="236"/>
      <c r="K462" s="113"/>
      <c r="N462" s="158"/>
    </row>
    <row r="463" spans="1:14" s="104" customFormat="1" ht="47.25" customHeight="1">
      <c r="A463" s="332" t="s">
        <v>959</v>
      </c>
      <c r="B463" s="332" t="s">
        <v>1071</v>
      </c>
      <c r="C463" s="25" t="s">
        <v>77</v>
      </c>
      <c r="D463" s="263" t="s">
        <v>439</v>
      </c>
      <c r="E463" s="350" t="s">
        <v>92</v>
      </c>
      <c r="F463" s="400" t="s">
        <v>1225</v>
      </c>
      <c r="G463" s="75">
        <v>50673</v>
      </c>
      <c r="H463" s="75"/>
      <c r="I463" s="75">
        <f t="shared" si="11"/>
        <v>50673</v>
      </c>
      <c r="J463" s="236"/>
      <c r="K463" s="113"/>
      <c r="N463" s="158"/>
    </row>
    <row r="464" spans="1:14" s="104" customFormat="1" ht="63" customHeight="1">
      <c r="A464" s="332" t="s">
        <v>959</v>
      </c>
      <c r="B464" s="332" t="s">
        <v>1071</v>
      </c>
      <c r="C464" s="263" t="s">
        <v>77</v>
      </c>
      <c r="D464" s="263" t="s">
        <v>439</v>
      </c>
      <c r="E464" s="350" t="s">
        <v>92</v>
      </c>
      <c r="F464" s="397" t="s">
        <v>1210</v>
      </c>
      <c r="G464" s="75">
        <v>75855</v>
      </c>
      <c r="H464" s="75"/>
      <c r="I464" s="75">
        <f t="shared" si="11"/>
        <v>75855</v>
      </c>
      <c r="J464" s="236"/>
      <c r="K464" s="113"/>
      <c r="N464" s="158"/>
    </row>
    <row r="465" spans="1:18" s="104" customFormat="1" ht="56.25" customHeight="1">
      <c r="A465" s="332" t="s">
        <v>959</v>
      </c>
      <c r="B465" s="332" t="s">
        <v>1071</v>
      </c>
      <c r="C465" s="263" t="s">
        <v>77</v>
      </c>
      <c r="D465" s="263" t="s">
        <v>439</v>
      </c>
      <c r="E465" s="350" t="s">
        <v>92</v>
      </c>
      <c r="F465" s="400" t="s">
        <v>1226</v>
      </c>
      <c r="G465" s="75">
        <v>23760</v>
      </c>
      <c r="H465" s="75"/>
      <c r="I465" s="75">
        <f t="shared" si="11"/>
        <v>23760</v>
      </c>
      <c r="J465" s="236"/>
      <c r="K465" s="267"/>
      <c r="L465" s="158"/>
      <c r="M465" s="158"/>
      <c r="N465" s="158"/>
      <c r="O465" s="158"/>
      <c r="P465" s="158"/>
      <c r="Q465" s="158"/>
      <c r="R465" s="158"/>
    </row>
    <row r="466" spans="1:18" s="233" customFormat="1" ht="15.75" customHeight="1">
      <c r="A466" s="308" t="s">
        <v>962</v>
      </c>
      <c r="B466" s="308" t="s">
        <v>1076</v>
      </c>
      <c r="C466" s="308" t="s">
        <v>574</v>
      </c>
      <c r="D466" s="308"/>
      <c r="E466" s="280" t="s">
        <v>575</v>
      </c>
      <c r="F466" s="232">
        <f>G466+J466</f>
        <v>0</v>
      </c>
      <c r="G466" s="83">
        <f>G468+G467</f>
        <v>0</v>
      </c>
      <c r="H466" s="83">
        <f>H468+H467</f>
        <v>3750000</v>
      </c>
      <c r="I466" s="83">
        <f t="shared" si="11"/>
        <v>3750000</v>
      </c>
      <c r="J466" s="253">
        <f>J468+J467</f>
        <v>0</v>
      </c>
      <c r="K466" s="268"/>
      <c r="L466" s="253"/>
      <c r="M466" s="253"/>
      <c r="N466" s="253"/>
      <c r="O466" s="253"/>
      <c r="P466" s="253"/>
      <c r="Q466" s="268"/>
      <c r="R466" s="269"/>
    </row>
    <row r="467" spans="1:18" s="233" customFormat="1" ht="57" customHeight="1">
      <c r="A467" s="263" t="s">
        <v>874</v>
      </c>
      <c r="B467" s="263" t="s">
        <v>1093</v>
      </c>
      <c r="C467" s="263" t="s">
        <v>29</v>
      </c>
      <c r="D467" s="263" t="s">
        <v>447</v>
      </c>
      <c r="E467" s="276" t="s">
        <v>106</v>
      </c>
      <c r="F467" s="412" t="s">
        <v>1243</v>
      </c>
      <c r="G467" s="374"/>
      <c r="H467" s="75">
        <f>3750000-3750000+3750000</f>
        <v>3750000</v>
      </c>
      <c r="I467" s="75">
        <f t="shared" si="11"/>
        <v>3750000</v>
      </c>
      <c r="J467" s="253"/>
      <c r="K467" s="268"/>
      <c r="L467" s="253"/>
      <c r="M467" s="253"/>
      <c r="N467" s="253"/>
      <c r="O467" s="253"/>
      <c r="P467" s="253"/>
      <c r="Q467" s="268"/>
      <c r="R467" s="269"/>
    </row>
    <row r="468" spans="1:18" s="234" customFormat="1" ht="46.5" customHeight="1" hidden="1">
      <c r="A468" s="313" t="s">
        <v>963</v>
      </c>
      <c r="B468" s="313" t="s">
        <v>1078</v>
      </c>
      <c r="C468" s="313" t="s">
        <v>71</v>
      </c>
      <c r="D468" s="313"/>
      <c r="E468" s="358" t="s">
        <v>221</v>
      </c>
      <c r="F468" s="232">
        <f>G468+J468</f>
        <v>0</v>
      </c>
      <c r="G468" s="375">
        <f>G469</f>
        <v>0</v>
      </c>
      <c r="H468" s="375">
        <f>H469</f>
        <v>0</v>
      </c>
      <c r="I468" s="375">
        <f t="shared" si="11"/>
        <v>0</v>
      </c>
      <c r="J468" s="254">
        <f>J469</f>
        <v>0</v>
      </c>
      <c r="K468" s="268"/>
      <c r="L468" s="254"/>
      <c r="M468" s="254"/>
      <c r="N468" s="254"/>
      <c r="O468" s="254"/>
      <c r="P468" s="254"/>
      <c r="Q468" s="268"/>
      <c r="R468" s="270"/>
    </row>
    <row r="469" spans="1:18" s="234" customFormat="1" ht="49.5" customHeight="1" hidden="1">
      <c r="A469" s="25" t="s">
        <v>963</v>
      </c>
      <c r="B469" s="25" t="s">
        <v>1078</v>
      </c>
      <c r="C469" s="25" t="s">
        <v>71</v>
      </c>
      <c r="D469" s="25"/>
      <c r="E469" s="276" t="s">
        <v>578</v>
      </c>
      <c r="F469" s="398" t="s">
        <v>1213</v>
      </c>
      <c r="G469" s="376"/>
      <c r="H469" s="376"/>
      <c r="I469" s="376">
        <f t="shared" si="11"/>
        <v>0</v>
      </c>
      <c r="J469" s="255"/>
      <c r="K469" s="268"/>
      <c r="L469" s="255"/>
      <c r="M469" s="255"/>
      <c r="N469" s="255"/>
      <c r="O469" s="255"/>
      <c r="P469" s="255"/>
      <c r="Q469" s="268"/>
      <c r="R469" s="270"/>
    </row>
    <row r="470" spans="1:18" s="104" customFormat="1" ht="31.5" customHeight="1">
      <c r="A470" s="98"/>
      <c r="B470" s="98" t="s">
        <v>137</v>
      </c>
      <c r="C470" s="98" t="s">
        <v>137</v>
      </c>
      <c r="D470" s="98"/>
      <c r="E470" s="99" t="s">
        <v>503</v>
      </c>
      <c r="F470" s="166"/>
      <c r="G470" s="83">
        <f>G471</f>
        <v>7501099</v>
      </c>
      <c r="H470" s="83">
        <f>H471</f>
        <v>21069244</v>
      </c>
      <c r="I470" s="83">
        <f t="shared" si="11"/>
        <v>28570343</v>
      </c>
      <c r="J470" s="144">
        <f>J471</f>
        <v>96449</v>
      </c>
      <c r="K470" s="267"/>
      <c r="L470" s="158"/>
      <c r="M470" s="158"/>
      <c r="N470" s="158"/>
      <c r="O470" s="158"/>
      <c r="P470" s="158"/>
      <c r="Q470" s="158"/>
      <c r="R470" s="158"/>
    </row>
    <row r="471" spans="1:18" s="104" customFormat="1" ht="31.5">
      <c r="A471" s="25" t="s">
        <v>964</v>
      </c>
      <c r="B471" s="25"/>
      <c r="C471" s="25"/>
      <c r="D471" s="25"/>
      <c r="E471" s="212" t="s">
        <v>965</v>
      </c>
      <c r="F471" s="230"/>
      <c r="G471" s="83">
        <f>G472+G475+G479+G483+G490+G481</f>
        <v>7501099</v>
      </c>
      <c r="H471" s="83">
        <f>H472+H475+H479+H483+H490+H481</f>
        <v>21069244</v>
      </c>
      <c r="I471" s="83">
        <f t="shared" si="11"/>
        <v>28570343</v>
      </c>
      <c r="J471" s="144">
        <f>J472+J475+J479+J483+J490</f>
        <v>96449</v>
      </c>
      <c r="K471" s="267"/>
      <c r="L471" s="158"/>
      <c r="M471" s="158"/>
      <c r="N471" s="158"/>
      <c r="O471" s="158"/>
      <c r="P471" s="158"/>
      <c r="Q471" s="158"/>
      <c r="R471" s="158"/>
    </row>
    <row r="472" spans="1:14" s="104" customFormat="1" ht="15.75" customHeight="1">
      <c r="A472" s="308" t="s">
        <v>966</v>
      </c>
      <c r="B472" s="308" t="s">
        <v>1060</v>
      </c>
      <c r="C472" s="309" t="s">
        <v>555</v>
      </c>
      <c r="D472" s="309"/>
      <c r="E472" s="353" t="s">
        <v>556</v>
      </c>
      <c r="F472" s="230"/>
      <c r="G472" s="83">
        <f>G473+G474</f>
        <v>790374</v>
      </c>
      <c r="H472" s="83">
        <f>H473+H474</f>
        <v>688868</v>
      </c>
      <c r="I472" s="83">
        <f t="shared" si="11"/>
        <v>1479242</v>
      </c>
      <c r="J472" s="144">
        <f>J473</f>
        <v>0</v>
      </c>
      <c r="K472" s="113"/>
      <c r="N472" s="158"/>
    </row>
    <row r="473" spans="1:14" s="104" customFormat="1" ht="69" customHeight="1">
      <c r="A473" s="263" t="s">
        <v>967</v>
      </c>
      <c r="B473" s="263" t="s">
        <v>471</v>
      </c>
      <c r="C473" s="263" t="s">
        <v>165</v>
      </c>
      <c r="D473" s="263" t="s">
        <v>436</v>
      </c>
      <c r="E473" s="347" t="s">
        <v>930</v>
      </c>
      <c r="F473" s="405" t="s">
        <v>1276</v>
      </c>
      <c r="G473" s="75"/>
      <c r="H473" s="75">
        <v>46200</v>
      </c>
      <c r="I473" s="75">
        <f t="shared" si="11"/>
        <v>46200</v>
      </c>
      <c r="J473" s="236"/>
      <c r="K473" s="113"/>
      <c r="N473" s="158"/>
    </row>
    <row r="474" spans="1:14" s="104" customFormat="1" ht="62.25" customHeight="1">
      <c r="A474" s="263" t="s">
        <v>967</v>
      </c>
      <c r="B474" s="337" t="s">
        <v>471</v>
      </c>
      <c r="C474" s="285" t="s">
        <v>165</v>
      </c>
      <c r="D474" s="337" t="s">
        <v>436</v>
      </c>
      <c r="E474" s="347" t="s">
        <v>930</v>
      </c>
      <c r="F474" s="398" t="s">
        <v>1212</v>
      </c>
      <c r="G474" s="75">
        <f>1433042-642668</f>
        <v>790374</v>
      </c>
      <c r="H474" s="75">
        <f>642668</f>
        <v>642668</v>
      </c>
      <c r="I474" s="75">
        <f t="shared" si="11"/>
        <v>1433042</v>
      </c>
      <c r="J474" s="236"/>
      <c r="K474" s="113"/>
      <c r="N474" s="158"/>
    </row>
    <row r="475" spans="1:14" s="104" customFormat="1" ht="15.75" customHeight="1">
      <c r="A475" s="309" t="s">
        <v>968</v>
      </c>
      <c r="B475" s="309" t="s">
        <v>1146</v>
      </c>
      <c r="C475" s="308" t="s">
        <v>784</v>
      </c>
      <c r="D475" s="308"/>
      <c r="E475" s="281" t="s">
        <v>785</v>
      </c>
      <c r="F475" s="230"/>
      <c r="G475" s="83">
        <f>G476+G477+G478</f>
        <v>6415655</v>
      </c>
      <c r="H475" s="83">
        <f>H476+H477+H478</f>
        <v>5282090</v>
      </c>
      <c r="I475" s="83">
        <f t="shared" si="11"/>
        <v>11697745</v>
      </c>
      <c r="J475" s="236">
        <f>J476+J477+J478</f>
        <v>96449</v>
      </c>
      <c r="K475" s="113"/>
      <c r="N475" s="158"/>
    </row>
    <row r="476" spans="1:14" s="104" customFormat="1" ht="47.25" customHeight="1">
      <c r="A476" s="311" t="s">
        <v>969</v>
      </c>
      <c r="B476" s="311" t="s">
        <v>1147</v>
      </c>
      <c r="C476" s="311" t="s">
        <v>216</v>
      </c>
      <c r="D476" s="311" t="s">
        <v>464</v>
      </c>
      <c r="E476" s="333" t="s">
        <v>787</v>
      </c>
      <c r="F476" s="405" t="s">
        <v>1241</v>
      </c>
      <c r="G476" s="75">
        <v>4741133</v>
      </c>
      <c r="H476" s="75"/>
      <c r="I476" s="75">
        <f t="shared" si="11"/>
        <v>4741133</v>
      </c>
      <c r="J476" s="236"/>
      <c r="K476" s="113"/>
      <c r="N476" s="158"/>
    </row>
    <row r="477" spans="1:15" s="104" customFormat="1" ht="47.25" customHeight="1">
      <c r="A477" s="278" t="s">
        <v>970</v>
      </c>
      <c r="B477" s="278" t="s">
        <v>1155</v>
      </c>
      <c r="C477" s="278" t="s">
        <v>94</v>
      </c>
      <c r="D477" s="278" t="s">
        <v>465</v>
      </c>
      <c r="E477" s="279" t="s">
        <v>95</v>
      </c>
      <c r="F477" s="405" t="s">
        <v>1251</v>
      </c>
      <c r="G477" s="75">
        <f>1096463+578059</f>
        <v>1674522</v>
      </c>
      <c r="H477" s="75">
        <f>96449+4627841+(498000)</f>
        <v>5222290</v>
      </c>
      <c r="I477" s="75">
        <f t="shared" si="11"/>
        <v>6896812</v>
      </c>
      <c r="J477" s="236">
        <v>96449</v>
      </c>
      <c r="K477" s="113"/>
      <c r="N477" s="114"/>
      <c r="O477" s="115"/>
    </row>
    <row r="478" spans="1:15" s="104" customFormat="1" ht="42.75" customHeight="1">
      <c r="A478" s="278" t="s">
        <v>970</v>
      </c>
      <c r="B478" s="278" t="s">
        <v>1155</v>
      </c>
      <c r="C478" s="278" t="s">
        <v>94</v>
      </c>
      <c r="D478" s="278" t="s">
        <v>465</v>
      </c>
      <c r="E478" s="279" t="s">
        <v>95</v>
      </c>
      <c r="F478" s="100" t="s">
        <v>1280</v>
      </c>
      <c r="G478" s="86"/>
      <c r="H478" s="86">
        <f>50000+9800</f>
        <v>59800</v>
      </c>
      <c r="I478" s="86">
        <f t="shared" si="11"/>
        <v>59800</v>
      </c>
      <c r="J478" s="256"/>
      <c r="K478" s="113"/>
      <c r="N478" s="114"/>
      <c r="O478" s="115"/>
    </row>
    <row r="479" spans="1:15" s="104" customFormat="1" ht="15.75" customHeight="1">
      <c r="A479" s="308" t="s">
        <v>971</v>
      </c>
      <c r="B479" s="308" t="s">
        <v>1065</v>
      </c>
      <c r="C479" s="309" t="s">
        <v>568</v>
      </c>
      <c r="D479" s="309"/>
      <c r="E479" s="280" t="s">
        <v>785</v>
      </c>
      <c r="F479" s="105"/>
      <c r="G479" s="381">
        <f>G480</f>
        <v>0</v>
      </c>
      <c r="H479" s="381">
        <f>H480</f>
        <v>14939162</v>
      </c>
      <c r="I479" s="381">
        <f t="shared" si="11"/>
        <v>14939162</v>
      </c>
      <c r="J479" s="256">
        <f>J480</f>
        <v>0</v>
      </c>
      <c r="K479" s="113"/>
      <c r="N479" s="114"/>
      <c r="O479" s="115"/>
    </row>
    <row r="480" spans="1:14" s="104" customFormat="1" ht="47.25" customHeight="1">
      <c r="A480" s="263" t="s">
        <v>972</v>
      </c>
      <c r="B480" s="263" t="s">
        <v>1066</v>
      </c>
      <c r="C480" s="263" t="s">
        <v>84</v>
      </c>
      <c r="D480" s="263" t="s">
        <v>438</v>
      </c>
      <c r="E480" s="347" t="s">
        <v>571</v>
      </c>
      <c r="F480" s="405" t="s">
        <v>1251</v>
      </c>
      <c r="G480" s="75"/>
      <c r="H480" s="75">
        <f>1810040+8009630-530490+106914+499982+5043086</f>
        <v>14939162</v>
      </c>
      <c r="I480" s="75">
        <f t="shared" si="11"/>
        <v>14939162</v>
      </c>
      <c r="J480" s="236"/>
      <c r="K480" s="113"/>
      <c r="N480" s="158"/>
    </row>
    <row r="481" spans="1:15" s="104" customFormat="1" ht="33.75" customHeight="1">
      <c r="A481" s="308" t="s">
        <v>1294</v>
      </c>
      <c r="B481" s="308" t="s">
        <v>1156</v>
      </c>
      <c r="C481" s="309" t="s">
        <v>823</v>
      </c>
      <c r="D481" s="309"/>
      <c r="E481" s="280" t="s">
        <v>824</v>
      </c>
      <c r="F481" s="105"/>
      <c r="G481" s="381">
        <f>G482</f>
        <v>0</v>
      </c>
      <c r="H481" s="381">
        <f>H482</f>
        <v>159124</v>
      </c>
      <c r="I481" s="381">
        <f t="shared" si="11"/>
        <v>159124</v>
      </c>
      <c r="J481" s="256"/>
      <c r="K481" s="113"/>
      <c r="N481" s="114"/>
      <c r="O481" s="115"/>
    </row>
    <row r="482" spans="1:14" s="104" customFormat="1" ht="47.25" customHeight="1">
      <c r="A482" s="263" t="s">
        <v>1285</v>
      </c>
      <c r="B482" s="263" t="s">
        <v>1157</v>
      </c>
      <c r="C482" s="263"/>
      <c r="D482" s="432" t="s">
        <v>466</v>
      </c>
      <c r="E482" s="276" t="s">
        <v>1026</v>
      </c>
      <c r="F482" s="405" t="s">
        <v>1251</v>
      </c>
      <c r="G482" s="434"/>
      <c r="H482" s="75">
        <v>159124</v>
      </c>
      <c r="I482" s="75">
        <f t="shared" si="11"/>
        <v>159124</v>
      </c>
      <c r="J482" s="236"/>
      <c r="K482" s="113"/>
      <c r="N482" s="158"/>
    </row>
    <row r="483" spans="1:14" s="104" customFormat="1" ht="15.75" customHeight="1">
      <c r="A483" s="309" t="s">
        <v>974</v>
      </c>
      <c r="B483" s="309" t="s">
        <v>1070</v>
      </c>
      <c r="C483" s="309" t="s">
        <v>580</v>
      </c>
      <c r="D483" s="309"/>
      <c r="E483" s="281" t="s">
        <v>581</v>
      </c>
      <c r="F483" s="230"/>
      <c r="G483" s="83">
        <f>G484</f>
        <v>295070</v>
      </c>
      <c r="H483" s="83">
        <f>H484</f>
        <v>0</v>
      </c>
      <c r="I483" s="83">
        <f t="shared" si="11"/>
        <v>295070</v>
      </c>
      <c r="J483" s="236">
        <f>J484</f>
        <v>0</v>
      </c>
      <c r="K483" s="113"/>
      <c r="N483" s="158"/>
    </row>
    <row r="484" spans="1:14" s="104" customFormat="1" ht="15.75" customHeight="1" hidden="1">
      <c r="A484" s="332" t="s">
        <v>975</v>
      </c>
      <c r="B484" s="332" t="s">
        <v>1071</v>
      </c>
      <c r="C484" s="332" t="s">
        <v>77</v>
      </c>
      <c r="D484" s="332"/>
      <c r="E484" s="350" t="s">
        <v>92</v>
      </c>
      <c r="F484" s="230"/>
      <c r="G484" s="75">
        <f>G485+G486+G487+G488+G489</f>
        <v>295070</v>
      </c>
      <c r="H484" s="75">
        <f>H485+H486+H487+H488+H489</f>
        <v>0</v>
      </c>
      <c r="I484" s="75">
        <f t="shared" si="11"/>
        <v>295070</v>
      </c>
      <c r="J484" s="236">
        <f>J485+J486+J487+J488+J489</f>
        <v>0</v>
      </c>
      <c r="K484" s="113"/>
      <c r="N484" s="158"/>
    </row>
    <row r="485" spans="1:14" s="104" customFormat="1" ht="48" customHeight="1">
      <c r="A485" s="332" t="s">
        <v>975</v>
      </c>
      <c r="B485" s="332" t="s">
        <v>1071</v>
      </c>
      <c r="C485" s="25" t="s">
        <v>77</v>
      </c>
      <c r="D485" s="263" t="s">
        <v>439</v>
      </c>
      <c r="E485" s="350" t="s">
        <v>92</v>
      </c>
      <c r="F485" s="400" t="s">
        <v>1229</v>
      </c>
      <c r="G485" s="75">
        <v>198640</v>
      </c>
      <c r="H485" s="75"/>
      <c r="I485" s="75">
        <f t="shared" si="11"/>
        <v>198640</v>
      </c>
      <c r="J485" s="236"/>
      <c r="K485" s="113"/>
      <c r="N485" s="158"/>
    </row>
    <row r="486" spans="1:14" s="104" customFormat="1" ht="47.25" customHeight="1" hidden="1">
      <c r="A486" s="332" t="s">
        <v>975</v>
      </c>
      <c r="B486" s="332" t="s">
        <v>1071</v>
      </c>
      <c r="C486" s="25" t="s">
        <v>77</v>
      </c>
      <c r="D486" s="263" t="s">
        <v>439</v>
      </c>
      <c r="E486" s="350" t="s">
        <v>92</v>
      </c>
      <c r="F486" s="287" t="s">
        <v>1176</v>
      </c>
      <c r="G486" s="75"/>
      <c r="H486" s="75"/>
      <c r="I486" s="75">
        <f t="shared" si="11"/>
        <v>0</v>
      </c>
      <c r="J486" s="236"/>
      <c r="K486" s="113"/>
      <c r="N486" s="158"/>
    </row>
    <row r="487" spans="1:14" s="104" customFormat="1" ht="47.25" customHeight="1">
      <c r="A487" s="332" t="s">
        <v>975</v>
      </c>
      <c r="B487" s="332" t="s">
        <v>1071</v>
      </c>
      <c r="C487" s="25" t="s">
        <v>77</v>
      </c>
      <c r="D487" s="263" t="s">
        <v>439</v>
      </c>
      <c r="E487" s="350" t="s">
        <v>92</v>
      </c>
      <c r="F487" s="400" t="s">
        <v>1225</v>
      </c>
      <c r="G487" s="75">
        <v>22692</v>
      </c>
      <c r="H487" s="75"/>
      <c r="I487" s="75">
        <f t="shared" si="11"/>
        <v>22692</v>
      </c>
      <c r="J487" s="236"/>
      <c r="K487" s="113"/>
      <c r="N487" s="158"/>
    </row>
    <row r="488" spans="1:14" s="104" customFormat="1" ht="63" customHeight="1">
      <c r="A488" s="332" t="s">
        <v>975</v>
      </c>
      <c r="B488" s="332" t="s">
        <v>1071</v>
      </c>
      <c r="C488" s="263" t="s">
        <v>77</v>
      </c>
      <c r="D488" s="263" t="s">
        <v>439</v>
      </c>
      <c r="E488" s="350" t="s">
        <v>92</v>
      </c>
      <c r="F488" s="397" t="s">
        <v>1210</v>
      </c>
      <c r="G488" s="75">
        <v>49978</v>
      </c>
      <c r="H488" s="75"/>
      <c r="I488" s="75">
        <f t="shared" si="11"/>
        <v>49978</v>
      </c>
      <c r="J488" s="236"/>
      <c r="K488" s="113"/>
      <c r="N488" s="158"/>
    </row>
    <row r="489" spans="1:14" s="104" customFormat="1" ht="48" customHeight="1">
      <c r="A489" s="332" t="s">
        <v>975</v>
      </c>
      <c r="B489" s="332" t="s">
        <v>1071</v>
      </c>
      <c r="C489" s="263" t="s">
        <v>77</v>
      </c>
      <c r="D489" s="263" t="s">
        <v>439</v>
      </c>
      <c r="E489" s="350" t="s">
        <v>92</v>
      </c>
      <c r="F489" s="400" t="s">
        <v>1226</v>
      </c>
      <c r="G489" s="75">
        <v>23760</v>
      </c>
      <c r="H489" s="75"/>
      <c r="I489" s="75">
        <f t="shared" si="11"/>
        <v>23760</v>
      </c>
      <c r="J489" s="236"/>
      <c r="K489" s="113"/>
      <c r="N489" s="158"/>
    </row>
    <row r="490" spans="1:14" s="104" customFormat="1" ht="15.75" customHeight="1" hidden="1">
      <c r="A490" s="308" t="s">
        <v>976</v>
      </c>
      <c r="B490" s="308" t="s">
        <v>1076</v>
      </c>
      <c r="C490" s="308" t="s">
        <v>574</v>
      </c>
      <c r="D490" s="308"/>
      <c r="E490" s="351" t="s">
        <v>575</v>
      </c>
      <c r="F490" s="232">
        <f>G490+J490</f>
        <v>0</v>
      </c>
      <c r="G490" s="75">
        <f>G491</f>
        <v>0</v>
      </c>
      <c r="H490" s="75">
        <f>H491</f>
        <v>0</v>
      </c>
      <c r="I490" s="75">
        <f t="shared" si="11"/>
        <v>0</v>
      </c>
      <c r="J490" s="236">
        <f>J491</f>
        <v>0</v>
      </c>
      <c r="K490" s="113"/>
      <c r="N490" s="158"/>
    </row>
    <row r="491" spans="1:14" s="104" customFormat="1" ht="38.25" customHeight="1" hidden="1">
      <c r="A491" s="313" t="s">
        <v>977</v>
      </c>
      <c r="B491" s="313" t="s">
        <v>1078</v>
      </c>
      <c r="C491" s="313" t="s">
        <v>71</v>
      </c>
      <c r="D491" s="313"/>
      <c r="E491" s="358" t="s">
        <v>221</v>
      </c>
      <c r="F491" s="232">
        <f>G491+J491</f>
        <v>0</v>
      </c>
      <c r="G491" s="75">
        <f>G492</f>
        <v>0</v>
      </c>
      <c r="H491" s="75">
        <f>H492</f>
        <v>0</v>
      </c>
      <c r="I491" s="75">
        <f t="shared" si="11"/>
        <v>0</v>
      </c>
      <c r="J491" s="236">
        <f>J492</f>
        <v>0</v>
      </c>
      <c r="K491" s="113"/>
      <c r="N491" s="158"/>
    </row>
    <row r="492" spans="1:14" s="104" customFormat="1" ht="47.25" customHeight="1" hidden="1">
      <c r="A492" s="25" t="s">
        <v>977</v>
      </c>
      <c r="B492" s="25" t="s">
        <v>1078</v>
      </c>
      <c r="C492" s="25" t="s">
        <v>71</v>
      </c>
      <c r="D492" s="25"/>
      <c r="E492" s="276" t="s">
        <v>578</v>
      </c>
      <c r="F492" s="398" t="s">
        <v>1213</v>
      </c>
      <c r="G492" s="75"/>
      <c r="H492" s="75"/>
      <c r="I492" s="75">
        <f t="shared" si="11"/>
        <v>0</v>
      </c>
      <c r="J492" s="236"/>
      <c r="K492" s="113"/>
      <c r="N492" s="158"/>
    </row>
    <row r="493" spans="1:14" s="106" customFormat="1" ht="31.5" customHeight="1">
      <c r="A493" s="98"/>
      <c r="B493" s="98" t="s">
        <v>138</v>
      </c>
      <c r="C493" s="98" t="s">
        <v>138</v>
      </c>
      <c r="D493" s="98"/>
      <c r="E493" s="99" t="s">
        <v>46</v>
      </c>
      <c r="F493" s="99"/>
      <c r="G493" s="83">
        <f>G494</f>
        <v>7533344</v>
      </c>
      <c r="H493" s="83">
        <f>H494</f>
        <v>15083807</v>
      </c>
      <c r="I493" s="83">
        <f t="shared" si="11"/>
        <v>22617151</v>
      </c>
      <c r="J493" s="144">
        <f>J494</f>
        <v>0</v>
      </c>
      <c r="K493" s="113"/>
      <c r="N493" s="123"/>
    </row>
    <row r="494" spans="1:14" s="106" customFormat="1" ht="37.5" customHeight="1">
      <c r="A494" s="25" t="s">
        <v>978</v>
      </c>
      <c r="B494" s="25"/>
      <c r="C494" s="25"/>
      <c r="D494" s="25"/>
      <c r="E494" s="212" t="s">
        <v>979</v>
      </c>
      <c r="F494" s="228"/>
      <c r="G494" s="83">
        <f>G495+G498+G502+G505+G512</f>
        <v>7533344</v>
      </c>
      <c r="H494" s="83">
        <f>H495+H498+H502+H505+H512</f>
        <v>15083807</v>
      </c>
      <c r="I494" s="83">
        <f t="shared" si="11"/>
        <v>22617151</v>
      </c>
      <c r="J494" s="144">
        <f>J495+J498+J502+J505+J512</f>
        <v>0</v>
      </c>
      <c r="K494" s="113"/>
      <c r="N494" s="123"/>
    </row>
    <row r="495" spans="1:14" s="106" customFormat="1" ht="15.75" customHeight="1">
      <c r="A495" s="308" t="s">
        <v>980</v>
      </c>
      <c r="B495" s="308" t="s">
        <v>1060</v>
      </c>
      <c r="C495" s="309" t="s">
        <v>555</v>
      </c>
      <c r="D495" s="309"/>
      <c r="E495" s="280" t="s">
        <v>556</v>
      </c>
      <c r="F495" s="228"/>
      <c r="G495" s="83">
        <f>G496+G497</f>
        <v>0</v>
      </c>
      <c r="H495" s="83">
        <f>H496+H497</f>
        <v>1712194</v>
      </c>
      <c r="I495" s="83">
        <f t="shared" si="11"/>
        <v>1712194</v>
      </c>
      <c r="J495" s="144">
        <f>J496</f>
        <v>0</v>
      </c>
      <c r="K495" s="113"/>
      <c r="N495" s="123"/>
    </row>
    <row r="496" spans="1:14" s="138" customFormat="1" ht="61.5" customHeight="1">
      <c r="A496" s="263" t="s">
        <v>981</v>
      </c>
      <c r="B496" s="263" t="s">
        <v>471</v>
      </c>
      <c r="C496" s="263" t="s">
        <v>165</v>
      </c>
      <c r="D496" s="263" t="s">
        <v>436</v>
      </c>
      <c r="E496" s="347" t="s">
        <v>930</v>
      </c>
      <c r="F496" s="405" t="s">
        <v>1276</v>
      </c>
      <c r="G496" s="75"/>
      <c r="H496" s="75">
        <f>1007979+225421</f>
        <v>1233400</v>
      </c>
      <c r="I496" s="75">
        <f t="shared" si="11"/>
        <v>1233400</v>
      </c>
      <c r="J496" s="236"/>
      <c r="K496" s="139"/>
      <c r="L496" s="140"/>
      <c r="N496" s="142"/>
    </row>
    <row r="497" spans="1:14" s="138" customFormat="1" ht="61.5" customHeight="1">
      <c r="A497" s="263" t="s">
        <v>981</v>
      </c>
      <c r="B497" s="337" t="s">
        <v>471</v>
      </c>
      <c r="C497" s="285" t="s">
        <v>165</v>
      </c>
      <c r="D497" s="337" t="s">
        <v>436</v>
      </c>
      <c r="E497" s="347" t="s">
        <v>930</v>
      </c>
      <c r="F497" s="398" t="s">
        <v>1212</v>
      </c>
      <c r="G497" s="75">
        <f>478794-478794</f>
        <v>0</v>
      </c>
      <c r="H497" s="75">
        <v>478794</v>
      </c>
      <c r="I497" s="75">
        <f t="shared" si="11"/>
        <v>478794</v>
      </c>
      <c r="J497" s="236"/>
      <c r="K497" s="139"/>
      <c r="L497" s="140"/>
      <c r="N497" s="142"/>
    </row>
    <row r="498" spans="1:14" s="138" customFormat="1" ht="15.75" customHeight="1">
      <c r="A498" s="309" t="s">
        <v>982</v>
      </c>
      <c r="B498" s="309" t="s">
        <v>1146</v>
      </c>
      <c r="C498" s="308" t="s">
        <v>784</v>
      </c>
      <c r="D498" s="308"/>
      <c r="E498" s="280" t="s">
        <v>785</v>
      </c>
      <c r="F498" s="230"/>
      <c r="G498" s="83">
        <f>G499+G500+G501</f>
        <v>6969908</v>
      </c>
      <c r="H498" s="83">
        <f>H499+H500+H501</f>
        <v>704758</v>
      </c>
      <c r="I498" s="83">
        <f t="shared" si="11"/>
        <v>7674666</v>
      </c>
      <c r="J498" s="236">
        <f>J499+J500+J501</f>
        <v>0</v>
      </c>
      <c r="K498" s="139"/>
      <c r="L498" s="140"/>
      <c r="N498" s="142"/>
    </row>
    <row r="499" spans="1:14" s="106" customFormat="1" ht="54.75" customHeight="1">
      <c r="A499" s="311" t="s">
        <v>983</v>
      </c>
      <c r="B499" s="311" t="s">
        <v>1147</v>
      </c>
      <c r="C499" s="311" t="s">
        <v>216</v>
      </c>
      <c r="D499" s="311" t="s">
        <v>464</v>
      </c>
      <c r="E499" s="333" t="s">
        <v>787</v>
      </c>
      <c r="F499" s="405" t="s">
        <v>1241</v>
      </c>
      <c r="G499" s="75">
        <v>2370519</v>
      </c>
      <c r="H499" s="75"/>
      <c r="I499" s="75">
        <f t="shared" si="11"/>
        <v>2370519</v>
      </c>
      <c r="J499" s="236"/>
      <c r="K499" s="113"/>
      <c r="L499" s="104"/>
      <c r="N499" s="123"/>
    </row>
    <row r="500" spans="1:15" s="104" customFormat="1" ht="54" customHeight="1">
      <c r="A500" s="278" t="s">
        <v>984</v>
      </c>
      <c r="B500" s="278" t="s">
        <v>1155</v>
      </c>
      <c r="C500" s="278" t="s">
        <v>94</v>
      </c>
      <c r="D500" s="278" t="s">
        <v>465</v>
      </c>
      <c r="E500" s="279" t="s">
        <v>95</v>
      </c>
      <c r="F500" s="405" t="s">
        <v>1251</v>
      </c>
      <c r="G500" s="75">
        <f>4624810-225421+(200000)</f>
        <v>4599389</v>
      </c>
      <c r="H500" s="75">
        <f>280000+200758+(70000)</f>
        <v>550758</v>
      </c>
      <c r="I500" s="75">
        <f t="shared" si="11"/>
        <v>5150147</v>
      </c>
      <c r="J500" s="236"/>
      <c r="K500" s="106"/>
      <c r="N500" s="114"/>
      <c r="O500" s="115"/>
    </row>
    <row r="501" spans="1:15" s="104" customFormat="1" ht="54" customHeight="1">
      <c r="A501" s="278" t="s">
        <v>984</v>
      </c>
      <c r="B501" s="278" t="s">
        <v>1155</v>
      </c>
      <c r="C501" s="278" t="s">
        <v>94</v>
      </c>
      <c r="D501" s="278" t="s">
        <v>465</v>
      </c>
      <c r="E501" s="279" t="s">
        <v>95</v>
      </c>
      <c r="F501" s="100" t="s">
        <v>1280</v>
      </c>
      <c r="G501" s="75"/>
      <c r="H501" s="75">
        <f>110000+44000</f>
        <v>154000</v>
      </c>
      <c r="I501" s="75">
        <f t="shared" si="11"/>
        <v>154000</v>
      </c>
      <c r="J501" s="236"/>
      <c r="K501" s="106"/>
      <c r="N501" s="114"/>
      <c r="O501" s="115"/>
    </row>
    <row r="502" spans="1:15" s="104" customFormat="1" ht="15.75" customHeight="1">
      <c r="A502" s="308" t="s">
        <v>985</v>
      </c>
      <c r="B502" s="308" t="s">
        <v>1065</v>
      </c>
      <c r="C502" s="308" t="s">
        <v>568</v>
      </c>
      <c r="D502" s="308"/>
      <c r="E502" s="349" t="s">
        <v>688</v>
      </c>
      <c r="F502" s="215"/>
      <c r="G502" s="75">
        <f>G503+G504</f>
        <v>0</v>
      </c>
      <c r="H502" s="75">
        <f>H503+H504</f>
        <v>12644778</v>
      </c>
      <c r="I502" s="75">
        <f t="shared" si="11"/>
        <v>12644778</v>
      </c>
      <c r="J502" s="236">
        <f>J503+J504</f>
        <v>0</v>
      </c>
      <c r="K502" s="106"/>
      <c r="N502" s="114"/>
      <c r="O502" s="115"/>
    </row>
    <row r="503" spans="1:15" s="104" customFormat="1" ht="52.5" customHeight="1">
      <c r="A503" s="260" t="s">
        <v>986</v>
      </c>
      <c r="B503" s="260" t="s">
        <v>1066</v>
      </c>
      <c r="C503" s="260" t="s">
        <v>84</v>
      </c>
      <c r="D503" s="439" t="s">
        <v>438</v>
      </c>
      <c r="E503" s="277" t="s">
        <v>571</v>
      </c>
      <c r="F503" s="405" t="s">
        <v>1251</v>
      </c>
      <c r="G503" s="75"/>
      <c r="H503" s="75">
        <f>14004778-2000000+640000-240000+240000</f>
        <v>12644778</v>
      </c>
      <c r="I503" s="75">
        <f t="shared" si="11"/>
        <v>12644778</v>
      </c>
      <c r="J503" s="236"/>
      <c r="K503" s="106"/>
      <c r="N503" s="114"/>
      <c r="O503" s="115"/>
    </row>
    <row r="504" spans="1:15" s="104" customFormat="1" ht="52.5" customHeight="1" hidden="1">
      <c r="A504" s="260" t="s">
        <v>986</v>
      </c>
      <c r="B504" s="260" t="s">
        <v>1066</v>
      </c>
      <c r="C504" s="260" t="s">
        <v>84</v>
      </c>
      <c r="D504" s="440"/>
      <c r="E504" s="277" t="s">
        <v>571</v>
      </c>
      <c r="F504" s="100" t="s">
        <v>1280</v>
      </c>
      <c r="G504" s="75"/>
      <c r="H504" s="75"/>
      <c r="I504" s="75">
        <f t="shared" si="11"/>
        <v>0</v>
      </c>
      <c r="J504" s="236"/>
      <c r="K504" s="106"/>
      <c r="N504" s="114"/>
      <c r="O504" s="115"/>
    </row>
    <row r="505" spans="1:15" s="104" customFormat="1" ht="15.75" customHeight="1">
      <c r="A505" s="309" t="s">
        <v>987</v>
      </c>
      <c r="B505" s="309" t="s">
        <v>1070</v>
      </c>
      <c r="C505" s="309" t="s">
        <v>580</v>
      </c>
      <c r="D505" s="309"/>
      <c r="E505" s="281" t="s">
        <v>581</v>
      </c>
      <c r="F505" s="100"/>
      <c r="G505" s="83">
        <f>G506</f>
        <v>563436</v>
      </c>
      <c r="H505" s="83">
        <f>H506</f>
        <v>0</v>
      </c>
      <c r="I505" s="83">
        <f aca="true" t="shared" si="12" ref="I505:I556">G505+H505</f>
        <v>563436</v>
      </c>
      <c r="J505" s="236">
        <f>J506</f>
        <v>0</v>
      </c>
      <c r="K505" s="106"/>
      <c r="N505" s="114"/>
      <c r="O505" s="115"/>
    </row>
    <row r="506" spans="1:15" s="104" customFormat="1" ht="15.75" customHeight="1" hidden="1">
      <c r="A506" s="332" t="s">
        <v>988</v>
      </c>
      <c r="B506" s="332" t="s">
        <v>1071</v>
      </c>
      <c r="C506" s="332" t="s">
        <v>77</v>
      </c>
      <c r="D506" s="332"/>
      <c r="E506" s="350" t="s">
        <v>92</v>
      </c>
      <c r="F506" s="100"/>
      <c r="G506" s="75">
        <f>G507+G508+G509+G510+G511</f>
        <v>563436</v>
      </c>
      <c r="H506" s="75">
        <f>H507+H508+H509+H510+H511</f>
        <v>0</v>
      </c>
      <c r="I506" s="75">
        <f t="shared" si="12"/>
        <v>563436</v>
      </c>
      <c r="J506" s="236">
        <f>J507+J508+J509+J510+J511</f>
        <v>0</v>
      </c>
      <c r="K506" s="106"/>
      <c r="N506" s="114"/>
      <c r="O506" s="115"/>
    </row>
    <row r="507" spans="1:15" s="104" customFormat="1" ht="51" customHeight="1">
      <c r="A507" s="332" t="s">
        <v>988</v>
      </c>
      <c r="B507" s="332" t="s">
        <v>1071</v>
      </c>
      <c r="C507" s="25" t="s">
        <v>77</v>
      </c>
      <c r="D507" s="263" t="s">
        <v>439</v>
      </c>
      <c r="E507" s="350" t="s">
        <v>92</v>
      </c>
      <c r="F507" s="400" t="s">
        <v>1228</v>
      </c>
      <c r="G507" s="75">
        <v>442133</v>
      </c>
      <c r="H507" s="75"/>
      <c r="I507" s="75">
        <f t="shared" si="12"/>
        <v>442133</v>
      </c>
      <c r="J507" s="236"/>
      <c r="K507" s="106"/>
      <c r="N507" s="114"/>
      <c r="O507" s="115"/>
    </row>
    <row r="508" spans="1:15" s="104" customFormat="1" ht="14.25" customHeight="1" hidden="1">
      <c r="A508" s="332" t="s">
        <v>988</v>
      </c>
      <c r="B508" s="332" t="s">
        <v>1071</v>
      </c>
      <c r="C508" s="260" t="s">
        <v>77</v>
      </c>
      <c r="D508" s="439" t="s">
        <v>439</v>
      </c>
      <c r="E508" s="350" t="s">
        <v>92</v>
      </c>
      <c r="F508" s="287" t="s">
        <v>1176</v>
      </c>
      <c r="G508" s="75"/>
      <c r="H508" s="75"/>
      <c r="I508" s="75">
        <f t="shared" si="12"/>
        <v>0</v>
      </c>
      <c r="J508" s="236"/>
      <c r="K508" s="106"/>
      <c r="N508" s="114"/>
      <c r="O508" s="115"/>
    </row>
    <row r="509" spans="1:15" s="104" customFormat="1" ht="47.25" customHeight="1">
      <c r="A509" s="332" t="s">
        <v>988</v>
      </c>
      <c r="B509" s="332" t="s">
        <v>1071</v>
      </c>
      <c r="C509" s="260" t="s">
        <v>77</v>
      </c>
      <c r="D509" s="440"/>
      <c r="E509" s="350" t="s">
        <v>92</v>
      </c>
      <c r="F509" s="400" t="s">
        <v>1225</v>
      </c>
      <c r="G509" s="75">
        <v>43067</v>
      </c>
      <c r="H509" s="75"/>
      <c r="I509" s="75">
        <f t="shared" si="12"/>
        <v>43067</v>
      </c>
      <c r="J509" s="236"/>
      <c r="K509" s="106"/>
      <c r="N509" s="114"/>
      <c r="O509" s="115"/>
    </row>
    <row r="510" spans="1:15" s="104" customFormat="1" ht="63" customHeight="1">
      <c r="A510" s="332" t="s">
        <v>988</v>
      </c>
      <c r="B510" s="332" t="s">
        <v>1071</v>
      </c>
      <c r="C510" s="263" t="s">
        <v>77</v>
      </c>
      <c r="D510" s="263" t="s">
        <v>439</v>
      </c>
      <c r="E510" s="350" t="s">
        <v>92</v>
      </c>
      <c r="F510" s="397" t="s">
        <v>1210</v>
      </c>
      <c r="G510" s="75">
        <v>50000</v>
      </c>
      <c r="H510" s="75"/>
      <c r="I510" s="75">
        <f t="shared" si="12"/>
        <v>50000</v>
      </c>
      <c r="J510" s="236"/>
      <c r="K510" s="106"/>
      <c r="N510" s="114"/>
      <c r="O510" s="115"/>
    </row>
    <row r="511" spans="1:15" s="104" customFormat="1" ht="57" customHeight="1">
      <c r="A511" s="332" t="s">
        <v>988</v>
      </c>
      <c r="B511" s="332" t="s">
        <v>1071</v>
      </c>
      <c r="C511" s="263" t="s">
        <v>77</v>
      </c>
      <c r="D511" s="263" t="s">
        <v>439</v>
      </c>
      <c r="E511" s="350" t="s">
        <v>92</v>
      </c>
      <c r="F511" s="400" t="s">
        <v>1226</v>
      </c>
      <c r="G511" s="75">
        <v>28236</v>
      </c>
      <c r="H511" s="75"/>
      <c r="I511" s="75">
        <f t="shared" si="12"/>
        <v>28236</v>
      </c>
      <c r="J511" s="236"/>
      <c r="K511" s="106"/>
      <c r="N511" s="114"/>
      <c r="O511" s="115"/>
    </row>
    <row r="512" spans="1:15" s="104" customFormat="1" ht="15.75" customHeight="1">
      <c r="A512" s="308" t="s">
        <v>989</v>
      </c>
      <c r="B512" s="308" t="s">
        <v>1076</v>
      </c>
      <c r="C512" s="308" t="s">
        <v>574</v>
      </c>
      <c r="D512" s="308"/>
      <c r="E512" s="280" t="s">
        <v>575</v>
      </c>
      <c r="F512" s="100"/>
      <c r="G512" s="83">
        <f>G513</f>
        <v>0</v>
      </c>
      <c r="H512" s="83">
        <f>H513</f>
        <v>22077</v>
      </c>
      <c r="I512" s="83">
        <f t="shared" si="12"/>
        <v>22077</v>
      </c>
      <c r="J512" s="236">
        <f>J513</f>
        <v>0</v>
      </c>
      <c r="K512" s="106"/>
      <c r="N512" s="114"/>
      <c r="O512" s="115"/>
    </row>
    <row r="513" spans="1:15" s="104" customFormat="1" ht="63.75" customHeight="1">
      <c r="A513" s="332" t="s">
        <v>1208</v>
      </c>
      <c r="B513" s="332" t="s">
        <v>1077</v>
      </c>
      <c r="C513" s="334" t="s">
        <v>71</v>
      </c>
      <c r="D513" s="332" t="s">
        <v>439</v>
      </c>
      <c r="E513" s="335" t="s">
        <v>221</v>
      </c>
      <c r="F513" s="412" t="s">
        <v>1240</v>
      </c>
      <c r="G513" s="75">
        <f>G514</f>
        <v>0</v>
      </c>
      <c r="H513" s="75">
        <f>16850+5227</f>
        <v>22077</v>
      </c>
      <c r="I513" s="75">
        <f t="shared" si="12"/>
        <v>22077</v>
      </c>
      <c r="J513" s="236">
        <f>J514</f>
        <v>0</v>
      </c>
      <c r="K513" s="106"/>
      <c r="N513" s="114"/>
      <c r="O513" s="115"/>
    </row>
    <row r="514" spans="1:15" s="104" customFormat="1" ht="31.5" hidden="1">
      <c r="A514" s="25" t="s">
        <v>1023</v>
      </c>
      <c r="B514" s="25" t="s">
        <v>1078</v>
      </c>
      <c r="C514" s="25" t="s">
        <v>71</v>
      </c>
      <c r="D514" s="25"/>
      <c r="E514" s="276" t="s">
        <v>578</v>
      </c>
      <c r="F514" s="398" t="s">
        <v>1213</v>
      </c>
      <c r="G514" s="75"/>
      <c r="H514" s="75"/>
      <c r="I514" s="75">
        <f t="shared" si="12"/>
        <v>0</v>
      </c>
      <c r="J514" s="236"/>
      <c r="K514" s="106"/>
      <c r="N514" s="114"/>
      <c r="O514" s="115"/>
    </row>
    <row r="515" spans="1:14" s="106" customFormat="1" ht="31.5" customHeight="1">
      <c r="A515" s="98"/>
      <c r="B515" s="98" t="s">
        <v>139</v>
      </c>
      <c r="C515" s="98" t="s">
        <v>139</v>
      </c>
      <c r="D515" s="98"/>
      <c r="E515" s="99" t="s">
        <v>47</v>
      </c>
      <c r="F515" s="99"/>
      <c r="G515" s="83">
        <f>G516</f>
        <v>4802951</v>
      </c>
      <c r="H515" s="83">
        <f>H516</f>
        <v>5129342</v>
      </c>
      <c r="I515" s="83">
        <f t="shared" si="12"/>
        <v>9932293</v>
      </c>
      <c r="J515" s="144">
        <f>J516</f>
        <v>0</v>
      </c>
      <c r="K515" s="113"/>
      <c r="N515" s="123"/>
    </row>
    <row r="516" spans="1:14" s="106" customFormat="1" ht="33" customHeight="1">
      <c r="A516" s="25" t="s">
        <v>990</v>
      </c>
      <c r="B516" s="25"/>
      <c r="C516" s="25"/>
      <c r="D516" s="25"/>
      <c r="E516" s="212" t="s">
        <v>991</v>
      </c>
      <c r="F516" s="228"/>
      <c r="G516" s="83">
        <f>G517+G520+G524+G526+G533</f>
        <v>4802951</v>
      </c>
      <c r="H516" s="83">
        <f>H517+H520+H524+H526+H533</f>
        <v>5129342</v>
      </c>
      <c r="I516" s="83">
        <f t="shared" si="12"/>
        <v>9932293</v>
      </c>
      <c r="J516" s="144">
        <f>J517+J520+J524+J526+J533</f>
        <v>0</v>
      </c>
      <c r="K516" s="113"/>
      <c r="N516" s="123"/>
    </row>
    <row r="517" spans="1:14" s="106" customFormat="1" ht="15.75" customHeight="1">
      <c r="A517" s="308" t="s">
        <v>992</v>
      </c>
      <c r="B517" s="308" t="s">
        <v>1060</v>
      </c>
      <c r="C517" s="309" t="s">
        <v>555</v>
      </c>
      <c r="D517" s="309"/>
      <c r="E517" s="280" t="s">
        <v>556</v>
      </c>
      <c r="F517" s="228"/>
      <c r="G517" s="83">
        <f>G518+G519</f>
        <v>631226</v>
      </c>
      <c r="H517" s="83">
        <f>H518+H519</f>
        <v>1591935</v>
      </c>
      <c r="I517" s="83">
        <f t="shared" si="12"/>
        <v>2223161</v>
      </c>
      <c r="J517" s="144">
        <f>J518</f>
        <v>0</v>
      </c>
      <c r="K517" s="113"/>
      <c r="N517" s="123"/>
    </row>
    <row r="518" spans="1:14" s="138" customFormat="1" ht="66" customHeight="1">
      <c r="A518" s="263" t="s">
        <v>993</v>
      </c>
      <c r="B518" s="263" t="s">
        <v>471</v>
      </c>
      <c r="C518" s="263" t="s">
        <v>165</v>
      </c>
      <c r="D518" s="263" t="s">
        <v>436</v>
      </c>
      <c r="E518" s="347" t="s">
        <v>930</v>
      </c>
      <c r="F518" s="405" t="s">
        <v>1276</v>
      </c>
      <c r="G518" s="75"/>
      <c r="H518" s="75">
        <f>650000+386300</f>
        <v>1036300</v>
      </c>
      <c r="I518" s="75">
        <f t="shared" si="12"/>
        <v>1036300</v>
      </c>
      <c r="J518" s="236"/>
      <c r="K518" s="139"/>
      <c r="M518" s="139"/>
      <c r="N518" s="142"/>
    </row>
    <row r="519" spans="1:14" s="138" customFormat="1" ht="66" customHeight="1">
      <c r="A519" s="263" t="s">
        <v>993</v>
      </c>
      <c r="B519" s="337" t="s">
        <v>471</v>
      </c>
      <c r="C519" s="285" t="s">
        <v>165</v>
      </c>
      <c r="D519" s="337" t="s">
        <v>436</v>
      </c>
      <c r="E519" s="347" t="s">
        <v>930</v>
      </c>
      <c r="F519" s="398" t="s">
        <v>1212</v>
      </c>
      <c r="G519" s="75">
        <f>1186861-555635</f>
        <v>631226</v>
      </c>
      <c r="H519" s="75">
        <v>555635</v>
      </c>
      <c r="I519" s="75">
        <f t="shared" si="12"/>
        <v>1186861</v>
      </c>
      <c r="J519" s="236"/>
      <c r="K519" s="139"/>
      <c r="M519" s="139"/>
      <c r="N519" s="142"/>
    </row>
    <row r="520" spans="1:14" s="106" customFormat="1" ht="15.75" customHeight="1">
      <c r="A520" s="309" t="s">
        <v>996</v>
      </c>
      <c r="B520" s="309" t="s">
        <v>1146</v>
      </c>
      <c r="C520" s="308" t="s">
        <v>784</v>
      </c>
      <c r="D520" s="308"/>
      <c r="E520" s="281" t="s">
        <v>785</v>
      </c>
      <c r="F520" s="230"/>
      <c r="G520" s="83">
        <f>G521+G522+G523</f>
        <v>3912915</v>
      </c>
      <c r="H520" s="83">
        <f>H521+H522+H523</f>
        <v>436692</v>
      </c>
      <c r="I520" s="83">
        <f t="shared" si="12"/>
        <v>4349607</v>
      </c>
      <c r="J520" s="236">
        <f>J521+J522+J523</f>
        <v>0</v>
      </c>
      <c r="K520" s="113"/>
      <c r="N520" s="123"/>
    </row>
    <row r="521" spans="1:14" s="106" customFormat="1" ht="49.5" customHeight="1">
      <c r="A521" s="311" t="s">
        <v>997</v>
      </c>
      <c r="B521" s="311" t="s">
        <v>1147</v>
      </c>
      <c r="C521" s="311" t="s">
        <v>216</v>
      </c>
      <c r="D521" s="311" t="s">
        <v>464</v>
      </c>
      <c r="E521" s="333" t="s">
        <v>787</v>
      </c>
      <c r="F521" s="405" t="s">
        <v>1241</v>
      </c>
      <c r="G521" s="75">
        <f>1666639-42519</f>
        <v>1624120</v>
      </c>
      <c r="H521" s="75"/>
      <c r="I521" s="75">
        <f t="shared" si="12"/>
        <v>1624120</v>
      </c>
      <c r="J521" s="236"/>
      <c r="K521" s="113"/>
      <c r="N521" s="123"/>
    </row>
    <row r="522" spans="1:15" s="104" customFormat="1" ht="48.75" customHeight="1">
      <c r="A522" s="278" t="s">
        <v>998</v>
      </c>
      <c r="B522" s="278" t="s">
        <v>1155</v>
      </c>
      <c r="C522" s="278" t="s">
        <v>94</v>
      </c>
      <c r="D522" s="278" t="s">
        <v>465</v>
      </c>
      <c r="E522" s="348" t="s">
        <v>95</v>
      </c>
      <c r="F522" s="405" t="s">
        <v>1251</v>
      </c>
      <c r="G522" s="75">
        <f>1839336+376960+42519+29980</f>
        <v>2288795</v>
      </c>
      <c r="H522" s="75">
        <f>70592+(200000)+107100</f>
        <v>377692</v>
      </c>
      <c r="I522" s="75">
        <f t="shared" si="12"/>
        <v>2666487</v>
      </c>
      <c r="J522" s="236"/>
      <c r="K522" s="106"/>
      <c r="N522" s="114"/>
      <c r="O522" s="115"/>
    </row>
    <row r="523" spans="1:15" s="104" customFormat="1" ht="48.75" customHeight="1">
      <c r="A523" s="278" t="s">
        <v>998</v>
      </c>
      <c r="B523" s="278" t="s">
        <v>1155</v>
      </c>
      <c r="C523" s="278" t="s">
        <v>94</v>
      </c>
      <c r="D523" s="278" t="s">
        <v>465</v>
      </c>
      <c r="E523" s="348" t="s">
        <v>95</v>
      </c>
      <c r="F523" s="100" t="s">
        <v>1280</v>
      </c>
      <c r="G523" s="75"/>
      <c r="H523" s="75">
        <v>59000</v>
      </c>
      <c r="I523" s="75">
        <f t="shared" si="12"/>
        <v>59000</v>
      </c>
      <c r="J523" s="236"/>
      <c r="K523" s="106"/>
      <c r="N523" s="114"/>
      <c r="O523" s="115"/>
    </row>
    <row r="524" spans="1:15" s="104" customFormat="1" ht="15.75" customHeight="1">
      <c r="A524" s="309" t="s">
        <v>994</v>
      </c>
      <c r="B524" s="309" t="s">
        <v>1065</v>
      </c>
      <c r="C524" s="309" t="s">
        <v>568</v>
      </c>
      <c r="D524" s="309"/>
      <c r="E524" s="353" t="s">
        <v>688</v>
      </c>
      <c r="F524" s="215"/>
      <c r="G524" s="75">
        <f>G525</f>
        <v>0</v>
      </c>
      <c r="H524" s="75">
        <f>H525</f>
        <v>3043880</v>
      </c>
      <c r="I524" s="75">
        <f t="shared" si="12"/>
        <v>3043880</v>
      </c>
      <c r="J524" s="236">
        <f>J525</f>
        <v>0</v>
      </c>
      <c r="K524" s="106"/>
      <c r="N524" s="114"/>
      <c r="O524" s="115"/>
    </row>
    <row r="525" spans="1:15" s="104" customFormat="1" ht="47.25" customHeight="1">
      <c r="A525" s="25" t="s">
        <v>995</v>
      </c>
      <c r="B525" s="25" t="s">
        <v>1066</v>
      </c>
      <c r="C525" s="25" t="s">
        <v>84</v>
      </c>
      <c r="D525" s="25" t="s">
        <v>438</v>
      </c>
      <c r="E525" s="276" t="s">
        <v>571</v>
      </c>
      <c r="F525" s="405" t="s">
        <v>1251</v>
      </c>
      <c r="G525" s="75"/>
      <c r="H525" s="75">
        <f>3855082+936695+17337+147000+87766-2000000</f>
        <v>3043880</v>
      </c>
      <c r="I525" s="75">
        <f t="shared" si="12"/>
        <v>3043880</v>
      </c>
      <c r="J525" s="236"/>
      <c r="K525" s="106"/>
      <c r="N525" s="114"/>
      <c r="O525" s="115"/>
    </row>
    <row r="526" spans="1:15" s="104" customFormat="1" ht="15.75" customHeight="1">
      <c r="A526" s="309" t="s">
        <v>1007</v>
      </c>
      <c r="B526" s="309" t="s">
        <v>1070</v>
      </c>
      <c r="C526" s="309" t="s">
        <v>580</v>
      </c>
      <c r="D526" s="309"/>
      <c r="E526" s="281" t="s">
        <v>581</v>
      </c>
      <c r="F526" s="230"/>
      <c r="G526" s="83">
        <f>G527</f>
        <v>258810</v>
      </c>
      <c r="H526" s="83">
        <f>H527</f>
        <v>0</v>
      </c>
      <c r="I526" s="83">
        <f t="shared" si="12"/>
        <v>258810</v>
      </c>
      <c r="J526" s="236">
        <f>J527</f>
        <v>0</v>
      </c>
      <c r="K526" s="106"/>
      <c r="N526" s="114"/>
      <c r="O526" s="115"/>
    </row>
    <row r="527" spans="1:15" s="104" customFormat="1" ht="15.75" customHeight="1" hidden="1">
      <c r="A527" s="332" t="s">
        <v>1008</v>
      </c>
      <c r="B527" s="332" t="s">
        <v>1071</v>
      </c>
      <c r="C527" s="332" t="s">
        <v>77</v>
      </c>
      <c r="D527" s="332"/>
      <c r="E527" s="350" t="s">
        <v>92</v>
      </c>
      <c r="F527" s="230"/>
      <c r="G527" s="75">
        <f>G528+G529+G530+G531+G532</f>
        <v>258810</v>
      </c>
      <c r="H527" s="75">
        <f>H528+H529+H530+H531+H532</f>
        <v>0</v>
      </c>
      <c r="I527" s="75">
        <f t="shared" si="12"/>
        <v>258810</v>
      </c>
      <c r="J527" s="236">
        <f>J528+J529+J530+J531+J532</f>
        <v>0</v>
      </c>
      <c r="K527" s="106"/>
      <c r="N527" s="114"/>
      <c r="O527" s="115"/>
    </row>
    <row r="528" spans="1:15" s="104" customFormat="1" ht="49.5" customHeight="1">
      <c r="A528" s="332" t="s">
        <v>1008</v>
      </c>
      <c r="B528" s="332" t="s">
        <v>1071</v>
      </c>
      <c r="C528" s="25" t="s">
        <v>77</v>
      </c>
      <c r="D528" s="263" t="s">
        <v>439</v>
      </c>
      <c r="E528" s="350" t="s">
        <v>92</v>
      </c>
      <c r="F528" s="400" t="s">
        <v>1228</v>
      </c>
      <c r="G528" s="75">
        <v>128000</v>
      </c>
      <c r="H528" s="75"/>
      <c r="I528" s="75">
        <f t="shared" si="12"/>
        <v>128000</v>
      </c>
      <c r="J528" s="236"/>
      <c r="K528" s="106"/>
      <c r="N528" s="114"/>
      <c r="O528" s="115"/>
    </row>
    <row r="529" spans="1:15" s="104" customFormat="1" ht="47.25" customHeight="1" hidden="1">
      <c r="A529" s="332" t="s">
        <v>1008</v>
      </c>
      <c r="B529" s="332" t="s">
        <v>1071</v>
      </c>
      <c r="C529" s="260" t="s">
        <v>77</v>
      </c>
      <c r="D529" s="439" t="s">
        <v>439</v>
      </c>
      <c r="E529" s="350" t="s">
        <v>92</v>
      </c>
      <c r="F529" s="259" t="s">
        <v>507</v>
      </c>
      <c r="G529" s="75"/>
      <c r="H529" s="75"/>
      <c r="I529" s="75">
        <f t="shared" si="12"/>
        <v>0</v>
      </c>
      <c r="J529" s="236"/>
      <c r="K529" s="106"/>
      <c r="N529" s="114"/>
      <c r="O529" s="115"/>
    </row>
    <row r="530" spans="1:15" s="104" customFormat="1" ht="47.25" customHeight="1">
      <c r="A530" s="332" t="s">
        <v>1008</v>
      </c>
      <c r="B530" s="332" t="s">
        <v>1071</v>
      </c>
      <c r="C530" s="260" t="s">
        <v>77</v>
      </c>
      <c r="D530" s="440"/>
      <c r="E530" s="350" t="s">
        <v>92</v>
      </c>
      <c r="F530" s="400" t="s">
        <v>1225</v>
      </c>
      <c r="G530" s="75">
        <v>34052</v>
      </c>
      <c r="H530" s="75"/>
      <c r="I530" s="75">
        <f t="shared" si="12"/>
        <v>34052</v>
      </c>
      <c r="J530" s="236"/>
      <c r="K530" s="106"/>
      <c r="N530" s="114"/>
      <c r="O530" s="115"/>
    </row>
    <row r="531" spans="1:15" s="104" customFormat="1" ht="63" customHeight="1">
      <c r="A531" s="332" t="s">
        <v>1008</v>
      </c>
      <c r="B531" s="332" t="s">
        <v>1071</v>
      </c>
      <c r="C531" s="263" t="s">
        <v>77</v>
      </c>
      <c r="D531" s="263" t="s">
        <v>439</v>
      </c>
      <c r="E531" s="350" t="s">
        <v>92</v>
      </c>
      <c r="F531" s="397" t="s">
        <v>1210</v>
      </c>
      <c r="G531" s="75">
        <v>54168</v>
      </c>
      <c r="H531" s="75"/>
      <c r="I531" s="75">
        <f t="shared" si="12"/>
        <v>54168</v>
      </c>
      <c r="J531" s="236"/>
      <c r="K531" s="106"/>
      <c r="N531" s="114"/>
      <c r="O531" s="115"/>
    </row>
    <row r="532" spans="1:15" s="104" customFormat="1" ht="51.75" customHeight="1">
      <c r="A532" s="332" t="s">
        <v>1008</v>
      </c>
      <c r="B532" s="332" t="s">
        <v>1071</v>
      </c>
      <c r="C532" s="263" t="s">
        <v>77</v>
      </c>
      <c r="D532" s="263" t="s">
        <v>439</v>
      </c>
      <c r="E532" s="350" t="s">
        <v>92</v>
      </c>
      <c r="F532" s="400" t="s">
        <v>1226</v>
      </c>
      <c r="G532" s="75">
        <v>42590</v>
      </c>
      <c r="H532" s="75"/>
      <c r="I532" s="75">
        <f t="shared" si="12"/>
        <v>42590</v>
      </c>
      <c r="J532" s="236"/>
      <c r="K532" s="106"/>
      <c r="N532" s="114"/>
      <c r="O532" s="115"/>
    </row>
    <row r="533" spans="1:15" s="104" customFormat="1" ht="15.75" customHeight="1">
      <c r="A533" s="308" t="s">
        <v>1009</v>
      </c>
      <c r="B533" s="308" t="s">
        <v>1076</v>
      </c>
      <c r="C533" s="308" t="s">
        <v>574</v>
      </c>
      <c r="D533" s="308"/>
      <c r="E533" s="280" t="s">
        <v>575</v>
      </c>
      <c r="F533" s="232">
        <f>G533+J533</f>
        <v>0</v>
      </c>
      <c r="G533" s="83">
        <f>G534</f>
        <v>0</v>
      </c>
      <c r="H533" s="83">
        <f>H534</f>
        <v>56835</v>
      </c>
      <c r="I533" s="83">
        <f t="shared" si="12"/>
        <v>56835</v>
      </c>
      <c r="J533" s="236">
        <f>J534</f>
        <v>0</v>
      </c>
      <c r="K533" s="106"/>
      <c r="N533" s="114"/>
      <c r="O533" s="115"/>
    </row>
    <row r="534" spans="1:15" s="104" customFormat="1" ht="69" customHeight="1">
      <c r="A534" s="332" t="s">
        <v>1209</v>
      </c>
      <c r="B534" s="332" t="s">
        <v>1077</v>
      </c>
      <c r="C534" s="332" t="s">
        <v>71</v>
      </c>
      <c r="D534" s="332" t="s">
        <v>439</v>
      </c>
      <c r="E534" s="336" t="s">
        <v>221</v>
      </c>
      <c r="F534" s="412" t="s">
        <v>1240</v>
      </c>
      <c r="G534" s="75">
        <f>G535</f>
        <v>0</v>
      </c>
      <c r="H534" s="75">
        <f>50000+6835</f>
        <v>56835</v>
      </c>
      <c r="I534" s="75">
        <f t="shared" si="12"/>
        <v>56835</v>
      </c>
      <c r="J534" s="236">
        <f>J535</f>
        <v>0</v>
      </c>
      <c r="K534" s="106"/>
      <c r="N534" s="114"/>
      <c r="O534" s="115"/>
    </row>
    <row r="535" spans="1:15" s="104" customFormat="1" ht="39" customHeight="1" hidden="1">
      <c r="A535" s="25" t="s">
        <v>1010</v>
      </c>
      <c r="B535" s="25" t="s">
        <v>1078</v>
      </c>
      <c r="C535" s="25" t="s">
        <v>71</v>
      </c>
      <c r="D535" s="25"/>
      <c r="E535" s="276" t="s">
        <v>578</v>
      </c>
      <c r="F535" s="398" t="s">
        <v>1213</v>
      </c>
      <c r="G535" s="75"/>
      <c r="H535" s="75"/>
      <c r="I535" s="75">
        <f t="shared" si="12"/>
        <v>0</v>
      </c>
      <c r="J535" s="236"/>
      <c r="K535" s="106"/>
      <c r="N535" s="114"/>
      <c r="O535" s="115"/>
    </row>
    <row r="536" spans="1:14" s="104" customFormat="1" ht="46.5" customHeight="1">
      <c r="A536" s="98"/>
      <c r="B536" s="98" t="s">
        <v>140</v>
      </c>
      <c r="C536" s="98" t="s">
        <v>140</v>
      </c>
      <c r="D536" s="98"/>
      <c r="E536" s="99" t="s">
        <v>48</v>
      </c>
      <c r="F536" s="167"/>
      <c r="G536" s="83">
        <f>G537</f>
        <v>12096683</v>
      </c>
      <c r="H536" s="83">
        <f>H537</f>
        <v>6769199</v>
      </c>
      <c r="I536" s="83">
        <f t="shared" si="12"/>
        <v>18865882</v>
      </c>
      <c r="J536" s="144">
        <f>J537</f>
        <v>0</v>
      </c>
      <c r="K536" s="113"/>
      <c r="N536" s="158"/>
    </row>
    <row r="537" spans="1:14" s="104" customFormat="1" ht="33" customHeight="1">
      <c r="A537" s="25" t="s">
        <v>999</v>
      </c>
      <c r="B537" s="25"/>
      <c r="C537" s="25"/>
      <c r="D537" s="25"/>
      <c r="E537" s="212" t="s">
        <v>1000</v>
      </c>
      <c r="F537" s="230"/>
      <c r="G537" s="83">
        <f>G538+G541+G545+G547+G554</f>
        <v>12096683</v>
      </c>
      <c r="H537" s="83">
        <f>H538+H541+H545+H547+H554</f>
        <v>6769199</v>
      </c>
      <c r="I537" s="83">
        <f t="shared" si="12"/>
        <v>18865882</v>
      </c>
      <c r="J537" s="144">
        <f>J538+J541+J545+J547+J554</f>
        <v>0</v>
      </c>
      <c r="K537" s="113"/>
      <c r="N537" s="158"/>
    </row>
    <row r="538" spans="1:14" s="104" customFormat="1" ht="15.75" customHeight="1">
      <c r="A538" s="308" t="s">
        <v>1001</v>
      </c>
      <c r="B538" s="308" t="s">
        <v>1060</v>
      </c>
      <c r="C538" s="309" t="s">
        <v>555</v>
      </c>
      <c r="D538" s="309"/>
      <c r="E538" s="280" t="s">
        <v>556</v>
      </c>
      <c r="F538" s="230"/>
      <c r="G538" s="83">
        <f>G539+G540</f>
        <v>2224306</v>
      </c>
      <c r="H538" s="83">
        <f>H539+H540</f>
        <v>2173226</v>
      </c>
      <c r="I538" s="83">
        <f t="shared" si="12"/>
        <v>4397532</v>
      </c>
      <c r="J538" s="144">
        <f>J539</f>
        <v>0</v>
      </c>
      <c r="K538" s="113"/>
      <c r="N538" s="158"/>
    </row>
    <row r="539" spans="1:14" s="140" customFormat="1" ht="63" customHeight="1">
      <c r="A539" s="263" t="s">
        <v>1002</v>
      </c>
      <c r="B539" s="263" t="s">
        <v>471</v>
      </c>
      <c r="C539" s="263" t="s">
        <v>165</v>
      </c>
      <c r="D539" s="263" t="s">
        <v>436</v>
      </c>
      <c r="E539" s="347" t="s">
        <v>930</v>
      </c>
      <c r="F539" s="405" t="s">
        <v>1276</v>
      </c>
      <c r="G539" s="75"/>
      <c r="H539" s="75">
        <f>946048+367000</f>
        <v>1313048</v>
      </c>
      <c r="I539" s="75">
        <f t="shared" si="12"/>
        <v>1313048</v>
      </c>
      <c r="J539" s="236"/>
      <c r="K539" s="139"/>
      <c r="N539" s="141"/>
    </row>
    <row r="540" spans="1:14" s="140" customFormat="1" ht="63" customHeight="1">
      <c r="A540" s="263" t="s">
        <v>1002</v>
      </c>
      <c r="B540" s="337" t="s">
        <v>471</v>
      </c>
      <c r="C540" s="285" t="s">
        <v>165</v>
      </c>
      <c r="D540" s="337" t="s">
        <v>436</v>
      </c>
      <c r="E540" s="347" t="s">
        <v>930</v>
      </c>
      <c r="F540" s="398" t="s">
        <v>1212</v>
      </c>
      <c r="G540" s="75">
        <f>3084484-860178</f>
        <v>2224306</v>
      </c>
      <c r="H540" s="75">
        <v>860178</v>
      </c>
      <c r="I540" s="75">
        <f t="shared" si="12"/>
        <v>3084484</v>
      </c>
      <c r="J540" s="236"/>
      <c r="K540" s="139"/>
      <c r="N540" s="141"/>
    </row>
    <row r="541" spans="1:14" s="140" customFormat="1" ht="15.75" customHeight="1">
      <c r="A541" s="309" t="s">
        <v>1003</v>
      </c>
      <c r="B541" s="309" t="s">
        <v>1146</v>
      </c>
      <c r="C541" s="308" t="s">
        <v>784</v>
      </c>
      <c r="D541" s="308"/>
      <c r="E541" s="281" t="s">
        <v>785</v>
      </c>
      <c r="F541" s="230"/>
      <c r="G541" s="83">
        <f>G542+G543+G544</f>
        <v>9562888</v>
      </c>
      <c r="H541" s="83">
        <f>H542+H543+H544</f>
        <v>1320000</v>
      </c>
      <c r="I541" s="83">
        <f t="shared" si="12"/>
        <v>10882888</v>
      </c>
      <c r="J541" s="236">
        <f>J542+J543+J544</f>
        <v>0</v>
      </c>
      <c r="K541" s="139"/>
      <c r="N541" s="141"/>
    </row>
    <row r="542" spans="1:14" s="140" customFormat="1" ht="47.25" customHeight="1">
      <c r="A542" s="311" t="s">
        <v>1004</v>
      </c>
      <c r="B542" s="311" t="s">
        <v>1147</v>
      </c>
      <c r="C542" s="311" t="s">
        <v>216</v>
      </c>
      <c r="D542" s="311" t="s">
        <v>464</v>
      </c>
      <c r="E542" s="333" t="s">
        <v>787</v>
      </c>
      <c r="F542" s="405" t="s">
        <v>1241</v>
      </c>
      <c r="G542" s="75">
        <f>3949783-5832</f>
        <v>3943951</v>
      </c>
      <c r="H542" s="75"/>
      <c r="I542" s="75">
        <f t="shared" si="12"/>
        <v>3943951</v>
      </c>
      <c r="J542" s="236"/>
      <c r="K542" s="139"/>
      <c r="N542" s="141"/>
    </row>
    <row r="543" spans="1:15" s="104" customFormat="1" ht="50.25" customHeight="1">
      <c r="A543" s="25" t="s">
        <v>1024</v>
      </c>
      <c r="B543" s="25" t="s">
        <v>1155</v>
      </c>
      <c r="C543" s="25" t="s">
        <v>94</v>
      </c>
      <c r="D543" s="25" t="s">
        <v>465</v>
      </c>
      <c r="E543" s="159" t="s">
        <v>95</v>
      </c>
      <c r="F543" s="405" t="s">
        <v>1251</v>
      </c>
      <c r="G543" s="75">
        <f>4935463+10000+673474</f>
        <v>5618937</v>
      </c>
      <c r="H543" s="75">
        <f>(1320000)</f>
        <v>1320000</v>
      </c>
      <c r="I543" s="75">
        <f t="shared" si="12"/>
        <v>6938937</v>
      </c>
      <c r="J543" s="236"/>
      <c r="K543" s="113"/>
      <c r="N543" s="114"/>
      <c r="O543" s="115"/>
    </row>
    <row r="544" spans="1:15" s="104" customFormat="1" ht="50.25" customHeight="1" hidden="1">
      <c r="A544" s="25" t="s">
        <v>1024</v>
      </c>
      <c r="B544" s="25" t="s">
        <v>1155</v>
      </c>
      <c r="C544" s="25" t="s">
        <v>94</v>
      </c>
      <c r="D544" s="25" t="s">
        <v>465</v>
      </c>
      <c r="E544" s="159" t="s">
        <v>95</v>
      </c>
      <c r="F544" s="100" t="s">
        <v>1280</v>
      </c>
      <c r="G544" s="75"/>
      <c r="H544" s="75"/>
      <c r="I544" s="75">
        <f t="shared" si="12"/>
        <v>0</v>
      </c>
      <c r="J544" s="236"/>
      <c r="K544" s="113"/>
      <c r="N544" s="114"/>
      <c r="O544" s="115"/>
    </row>
    <row r="545" spans="1:15" s="104" customFormat="1" ht="15.75" customHeight="1">
      <c r="A545" s="308" t="s">
        <v>1005</v>
      </c>
      <c r="B545" s="308" t="s">
        <v>1065</v>
      </c>
      <c r="C545" s="309" t="s">
        <v>568</v>
      </c>
      <c r="D545" s="309"/>
      <c r="E545" s="280" t="s">
        <v>688</v>
      </c>
      <c r="F545" s="215"/>
      <c r="G545" s="83">
        <f>G546</f>
        <v>0</v>
      </c>
      <c r="H545" s="83">
        <f>H546</f>
        <v>3225965</v>
      </c>
      <c r="I545" s="83">
        <f t="shared" si="12"/>
        <v>3225965</v>
      </c>
      <c r="J545" s="236">
        <f>J546</f>
        <v>0</v>
      </c>
      <c r="K545" s="113"/>
      <c r="N545" s="114"/>
      <c r="O545" s="115"/>
    </row>
    <row r="546" spans="1:15" s="104" customFormat="1" ht="47.25" customHeight="1">
      <c r="A546" s="263" t="s">
        <v>1006</v>
      </c>
      <c r="B546" s="263" t="s">
        <v>1066</v>
      </c>
      <c r="C546" s="263" t="s">
        <v>84</v>
      </c>
      <c r="D546" s="263" t="s">
        <v>438</v>
      </c>
      <c r="E546" s="347" t="s">
        <v>571</v>
      </c>
      <c r="F546" s="405" t="s">
        <v>1251</v>
      </c>
      <c r="G546" s="75"/>
      <c r="H546" s="75">
        <f>6275965+300000-350000-5500000+2500000</f>
        <v>3225965</v>
      </c>
      <c r="I546" s="75">
        <f t="shared" si="12"/>
        <v>3225965</v>
      </c>
      <c r="J546" s="236"/>
      <c r="K546" s="113"/>
      <c r="N546" s="114"/>
      <c r="O546" s="115"/>
    </row>
    <row r="547" spans="1:15" s="104" customFormat="1" ht="15.75" customHeight="1">
      <c r="A547" s="309" t="s">
        <v>1011</v>
      </c>
      <c r="B547" s="309" t="s">
        <v>1070</v>
      </c>
      <c r="C547" s="309" t="s">
        <v>580</v>
      </c>
      <c r="D547" s="309"/>
      <c r="E547" s="281" t="s">
        <v>581</v>
      </c>
      <c r="F547" s="230"/>
      <c r="G547" s="83">
        <f>G548</f>
        <v>309489</v>
      </c>
      <c r="H547" s="83">
        <f>H548</f>
        <v>0</v>
      </c>
      <c r="I547" s="83">
        <f t="shared" si="12"/>
        <v>309489</v>
      </c>
      <c r="J547" s="236">
        <f>J548</f>
        <v>0</v>
      </c>
      <c r="K547" s="113"/>
      <c r="N547" s="114"/>
      <c r="O547" s="115"/>
    </row>
    <row r="548" spans="1:15" s="104" customFormat="1" ht="15.75" customHeight="1" hidden="1">
      <c r="A548" s="332" t="s">
        <v>1012</v>
      </c>
      <c r="B548" s="332" t="s">
        <v>1071</v>
      </c>
      <c r="C548" s="332" t="s">
        <v>77</v>
      </c>
      <c r="D548" s="332"/>
      <c r="E548" s="350" t="s">
        <v>92</v>
      </c>
      <c r="F548" s="230"/>
      <c r="G548" s="75">
        <f>G549+G550+G551+G552+G553</f>
        <v>309489</v>
      </c>
      <c r="H548" s="75">
        <f>H549+H550+H551+H552+H553</f>
        <v>0</v>
      </c>
      <c r="I548" s="75">
        <f t="shared" si="12"/>
        <v>309489</v>
      </c>
      <c r="J548" s="236">
        <f>J549+J550+J551+J552+J553</f>
        <v>0</v>
      </c>
      <c r="K548" s="113"/>
      <c r="N548" s="114"/>
      <c r="O548" s="115"/>
    </row>
    <row r="549" spans="1:15" s="104" customFormat="1" ht="45" customHeight="1">
      <c r="A549" s="332" t="s">
        <v>1012</v>
      </c>
      <c r="B549" s="332" t="s">
        <v>1071</v>
      </c>
      <c r="C549" s="25" t="s">
        <v>77</v>
      </c>
      <c r="D549" s="263" t="s">
        <v>439</v>
      </c>
      <c r="E549" s="350" t="s">
        <v>92</v>
      </c>
      <c r="F549" s="400" t="s">
        <v>1228</v>
      </c>
      <c r="G549" s="75">
        <v>173009</v>
      </c>
      <c r="H549" s="75"/>
      <c r="I549" s="75">
        <f t="shared" si="12"/>
        <v>173009</v>
      </c>
      <c r="J549" s="236"/>
      <c r="K549" s="113"/>
      <c r="N549" s="114"/>
      <c r="O549" s="115"/>
    </row>
    <row r="550" spans="1:15" s="104" customFormat="1" ht="1.5" customHeight="1" hidden="1">
      <c r="A550" s="332" t="s">
        <v>1012</v>
      </c>
      <c r="B550" s="332" t="s">
        <v>1071</v>
      </c>
      <c r="C550" s="260" t="s">
        <v>77</v>
      </c>
      <c r="D550" s="439" t="s">
        <v>439</v>
      </c>
      <c r="E550" s="350" t="s">
        <v>92</v>
      </c>
      <c r="F550" s="259" t="s">
        <v>507</v>
      </c>
      <c r="G550" s="75"/>
      <c r="H550" s="75"/>
      <c r="I550" s="75">
        <f t="shared" si="12"/>
        <v>0</v>
      </c>
      <c r="J550" s="236"/>
      <c r="K550" s="113"/>
      <c r="N550" s="114"/>
      <c r="O550" s="115"/>
    </row>
    <row r="551" spans="1:15" s="104" customFormat="1" ht="50.25" customHeight="1">
      <c r="A551" s="332" t="s">
        <v>1012</v>
      </c>
      <c r="B551" s="332" t="s">
        <v>1071</v>
      </c>
      <c r="C551" s="260" t="s">
        <v>77</v>
      </c>
      <c r="D551" s="440"/>
      <c r="E551" s="350" t="s">
        <v>92</v>
      </c>
      <c r="F551" s="412" t="s">
        <v>1225</v>
      </c>
      <c r="G551" s="75">
        <v>86480</v>
      </c>
      <c r="H551" s="75"/>
      <c r="I551" s="75">
        <f t="shared" si="12"/>
        <v>86480</v>
      </c>
      <c r="J551" s="236"/>
      <c r="K551" s="113"/>
      <c r="N551" s="114"/>
      <c r="O551" s="115"/>
    </row>
    <row r="552" spans="1:15" s="104" customFormat="1" ht="61.5" customHeight="1">
      <c r="A552" s="332" t="s">
        <v>1012</v>
      </c>
      <c r="B552" s="332" t="s">
        <v>1071</v>
      </c>
      <c r="C552" s="263" t="s">
        <v>77</v>
      </c>
      <c r="D552" s="263" t="s">
        <v>439</v>
      </c>
      <c r="E552" s="350" t="s">
        <v>92</v>
      </c>
      <c r="F552" s="412" t="s">
        <v>1210</v>
      </c>
      <c r="G552" s="75">
        <v>50000</v>
      </c>
      <c r="H552" s="75"/>
      <c r="I552" s="75">
        <f t="shared" si="12"/>
        <v>50000</v>
      </c>
      <c r="J552" s="236"/>
      <c r="K552" s="113"/>
      <c r="N552" s="114"/>
      <c r="O552" s="115"/>
    </row>
    <row r="553" spans="1:15" s="104" customFormat="1" ht="50.25" customHeight="1" hidden="1">
      <c r="A553" s="25" t="s">
        <v>1013</v>
      </c>
      <c r="B553" s="25" t="s">
        <v>1169</v>
      </c>
      <c r="C553" s="263" t="s">
        <v>77</v>
      </c>
      <c r="D553" s="263" t="s">
        <v>439</v>
      </c>
      <c r="E553" s="276" t="s">
        <v>938</v>
      </c>
      <c r="F553" s="231" t="s">
        <v>497</v>
      </c>
      <c r="G553" s="80"/>
      <c r="H553" s="80"/>
      <c r="I553" s="80">
        <f t="shared" si="12"/>
        <v>0</v>
      </c>
      <c r="J553" s="236"/>
      <c r="K553" s="113"/>
      <c r="N553" s="114"/>
      <c r="O553" s="115"/>
    </row>
    <row r="554" spans="1:15" s="104" customFormat="1" ht="15.75" customHeight="1">
      <c r="A554" s="308" t="s">
        <v>1014</v>
      </c>
      <c r="B554" s="308" t="s">
        <v>1076</v>
      </c>
      <c r="C554" s="308" t="s">
        <v>574</v>
      </c>
      <c r="D554" s="308"/>
      <c r="E554" s="351" t="s">
        <v>575</v>
      </c>
      <c r="F554" s="232">
        <f>G554+J554</f>
        <v>0</v>
      </c>
      <c r="G554" s="80">
        <f>G555</f>
        <v>0</v>
      </c>
      <c r="H554" s="80">
        <f>H555</f>
        <v>50008</v>
      </c>
      <c r="I554" s="80">
        <f t="shared" si="12"/>
        <v>50008</v>
      </c>
      <c r="J554" s="236">
        <f>J555</f>
        <v>0</v>
      </c>
      <c r="K554" s="113"/>
      <c r="N554" s="114"/>
      <c r="O554" s="115"/>
    </row>
    <row r="555" spans="1:15" s="104" customFormat="1" ht="51.75" customHeight="1">
      <c r="A555" s="332" t="s">
        <v>1286</v>
      </c>
      <c r="B555" s="263" t="s">
        <v>1093</v>
      </c>
      <c r="C555" s="263" t="s">
        <v>29</v>
      </c>
      <c r="D555" s="263" t="s">
        <v>447</v>
      </c>
      <c r="E555" s="276" t="s">
        <v>106</v>
      </c>
      <c r="F555" s="412" t="s">
        <v>1243</v>
      </c>
      <c r="G555" s="80">
        <f>G556</f>
        <v>0</v>
      </c>
      <c r="H555" s="80">
        <v>50008</v>
      </c>
      <c r="I555" s="80">
        <f t="shared" si="12"/>
        <v>50008</v>
      </c>
      <c r="J555" s="236">
        <f>J556</f>
        <v>0</v>
      </c>
      <c r="K555" s="113"/>
      <c r="N555" s="114"/>
      <c r="O555" s="115"/>
    </row>
    <row r="556" spans="1:15" s="104" customFormat="1" ht="50.25" customHeight="1" hidden="1">
      <c r="A556" s="25" t="s">
        <v>1015</v>
      </c>
      <c r="B556" s="25" t="s">
        <v>1078</v>
      </c>
      <c r="C556" s="25" t="s">
        <v>71</v>
      </c>
      <c r="D556" s="25"/>
      <c r="E556" s="276" t="s">
        <v>578</v>
      </c>
      <c r="F556" s="398" t="s">
        <v>1213</v>
      </c>
      <c r="G556" s="80"/>
      <c r="H556" s="80"/>
      <c r="I556" s="80">
        <f t="shared" si="12"/>
        <v>0</v>
      </c>
      <c r="J556" s="236"/>
      <c r="K556" s="113"/>
      <c r="N556" s="114"/>
      <c r="O556" s="115"/>
    </row>
    <row r="557" spans="1:14" s="126" customFormat="1" ht="21" customHeight="1">
      <c r="A557" s="99"/>
      <c r="B557" s="99"/>
      <c r="C557" s="99"/>
      <c r="D557" s="99"/>
      <c r="E557" s="99" t="s">
        <v>66</v>
      </c>
      <c r="F557" s="99"/>
      <c r="G557" s="265">
        <f>G11+G39+G82+G110+G139+G170+G179+G183+G212+G226+G230+G264+G291+G298+G307+G311+G319+G325+G336+G363+G370+G389+G397+G402+G424+G447+G470+G493+G515+G536+G209</f>
        <v>1564333014</v>
      </c>
      <c r="H557" s="265">
        <f>H11+H39+H82+H110+H139+H170+H179+H183+H212+H226+H230+H264+H291+H298+H307+H311+H319+H325+H336+H363+H370+H389+H397+H402+H424+H447+H470+H493+H515+H536+H209</f>
        <v>1752834199</v>
      </c>
      <c r="I557" s="265">
        <f>I11+I39+I82+I110+I139+I170+I179+I183+I212+I226+I230+I264+I291+I298+I307+I311+I319+I325+I336+I363+I370+I389+I397+I402+I424+I447+I470+I493+I515+I536+I209</f>
        <v>3317167213</v>
      </c>
      <c r="J557" s="144">
        <f>J11+J39+J82+J110+J139+J170+J179+J183+J212+J226+J230+J264+J291+J298+J307+J311+J319+J325+J336+J363+J370+J389+J397+J402+J424+J447+J470+J493+J515+J536</f>
        <v>2132788</v>
      </c>
      <c r="K557" s="124">
        <v>0</v>
      </c>
      <c r="L557" s="125">
        <f>I557-K557</f>
        <v>3317167213</v>
      </c>
      <c r="N557" s="127"/>
    </row>
    <row r="558" spans="1:14" s="126" customFormat="1" ht="21" customHeight="1">
      <c r="A558" s="123"/>
      <c r="B558" s="123"/>
      <c r="C558" s="123"/>
      <c r="D558" s="123"/>
      <c r="E558" s="123"/>
      <c r="F558" s="123"/>
      <c r="G558" s="143"/>
      <c r="H558" s="143"/>
      <c r="I558" s="143"/>
      <c r="J558" s="144"/>
      <c r="K558" s="124"/>
      <c r="L558" s="125"/>
      <c r="N558" s="127"/>
    </row>
    <row r="559" spans="1:14" s="128" customFormat="1" ht="44.25" customHeight="1">
      <c r="A559" s="321"/>
      <c r="B559" s="321"/>
      <c r="C559" s="321"/>
      <c r="D559" s="321" t="s">
        <v>200</v>
      </c>
      <c r="E559" s="317"/>
      <c r="F559" s="163"/>
      <c r="G559" s="163" t="s">
        <v>478</v>
      </c>
      <c r="H559" s="288"/>
      <c r="I559" s="130"/>
      <c r="J559" s="151"/>
      <c r="K559" s="129"/>
      <c r="N559" s="130"/>
    </row>
    <row r="560" spans="8:9" ht="18" customHeight="1">
      <c r="H560" s="126"/>
      <c r="I560" s="301"/>
    </row>
    <row r="561" spans="6:9" ht="18" customHeight="1">
      <c r="F561" s="94" t="s">
        <v>540</v>
      </c>
      <c r="G561" s="131">
        <f>G536+G515+G493+G470+G447+G424+G402+G389+G370+G363+G336+G325+G319+G298+G291+G230+G212+G183+G139+G110+G39+G11+G397+G311+G170+G179+G226+G307+G264+G82+G209</f>
        <v>1564333014</v>
      </c>
      <c r="H561" s="131">
        <f>H536+H515+H493+H470+H447+H424+H402+H389+H370+H363+H336+H325+H319+H298+H291+H230+H212+H183+H139+H110+H39+H11+H397+H311+H170+H179+H226+H307+H264+H82+H209</f>
        <v>1752834199</v>
      </c>
      <c r="I561" s="298">
        <f>H561+G561</f>
        <v>3317167213</v>
      </c>
    </row>
    <row r="562" spans="7:14" ht="18" customHeight="1">
      <c r="G562" s="132">
        <f>G557-G561</f>
        <v>0</v>
      </c>
      <c r="H562" s="132">
        <f>H557-H561</f>
        <v>0</v>
      </c>
      <c r="I562" s="299">
        <f>I557-I561</f>
        <v>0</v>
      </c>
      <c r="K562" s="94"/>
      <c r="N562" s="94"/>
    </row>
    <row r="563" spans="5:14" ht="47.25">
      <c r="E563" s="125">
        <f>G563+H563-I563</f>
        <v>0</v>
      </c>
      <c r="F563" s="412" t="s">
        <v>1255</v>
      </c>
      <c r="G563" s="88">
        <f>G186+G188+G189+G191+G193+G196+G198+G199+G200+G201+G202+G204</f>
        <v>6340780</v>
      </c>
      <c r="H563" s="289">
        <f>H186+H188+H189+H191+H193+H196+H198+H199+H200+H201+H202+H204</f>
        <v>13710105</v>
      </c>
      <c r="I563" s="88">
        <f>I186+I188+I189+I191+I193+I196+I198+I199+I200+I201+I202+I204</f>
        <v>20050885</v>
      </c>
      <c r="K563" s="94"/>
      <c r="N563" s="94"/>
    </row>
    <row r="564" spans="1:10" s="182" customFormat="1" ht="63">
      <c r="A564" s="322"/>
      <c r="B564" s="322"/>
      <c r="C564" s="322"/>
      <c r="D564" s="322"/>
      <c r="E564" s="359">
        <f aca="true" t="shared" si="13" ref="E564:E609">G564+H564-I564</f>
        <v>0</v>
      </c>
      <c r="F564" s="231" t="s">
        <v>544</v>
      </c>
      <c r="G564" s="88">
        <f>G178</f>
        <v>506795</v>
      </c>
      <c r="H564" s="289">
        <f>H178</f>
        <v>0</v>
      </c>
      <c r="I564" s="88">
        <f>I178</f>
        <v>506795</v>
      </c>
      <c r="J564" s="181"/>
    </row>
    <row r="565" spans="5:14" ht="94.5">
      <c r="E565" s="125">
        <f t="shared" si="13"/>
        <v>0</v>
      </c>
      <c r="F565" s="85" t="s">
        <v>541</v>
      </c>
      <c r="G565" s="88">
        <f>G400</f>
        <v>2439890</v>
      </c>
      <c r="H565" s="289">
        <f>H400</f>
        <v>5745400</v>
      </c>
      <c r="I565" s="88">
        <f>I400</f>
        <v>8185290</v>
      </c>
      <c r="K565" s="94"/>
      <c r="N565" s="94"/>
    </row>
    <row r="566" spans="5:14" ht="47.25">
      <c r="E566" s="125">
        <f t="shared" si="13"/>
        <v>0</v>
      </c>
      <c r="F566" s="231" t="s">
        <v>537</v>
      </c>
      <c r="G566" s="88">
        <f>G24+G34</f>
        <v>6995398</v>
      </c>
      <c r="H566" s="289">
        <f>H24+H34</f>
        <v>177000</v>
      </c>
      <c r="I566" s="88">
        <f>I24+I34</f>
        <v>7172398</v>
      </c>
      <c r="K566" s="94"/>
      <c r="N566" s="94"/>
    </row>
    <row r="567" spans="5:14" ht="47.25">
      <c r="E567" s="125">
        <f t="shared" si="13"/>
        <v>0</v>
      </c>
      <c r="F567" s="231" t="s">
        <v>488</v>
      </c>
      <c r="G567" s="88">
        <f>G30</f>
        <v>324855</v>
      </c>
      <c r="H567" s="289">
        <f>H30</f>
        <v>0</v>
      </c>
      <c r="I567" s="88">
        <f>I30</f>
        <v>324855</v>
      </c>
      <c r="K567" s="94"/>
      <c r="N567" s="94"/>
    </row>
    <row r="568" spans="5:14" ht="31.5">
      <c r="E568" s="125">
        <f t="shared" si="13"/>
        <v>0</v>
      </c>
      <c r="F568" s="85" t="s">
        <v>1040</v>
      </c>
      <c r="G568" s="88">
        <f>G344</f>
        <v>0</v>
      </c>
      <c r="H568" s="289">
        <f>H344</f>
        <v>102372749</v>
      </c>
      <c r="I568" s="88">
        <f>I344</f>
        <v>102372749</v>
      </c>
      <c r="K568" s="94"/>
      <c r="N568" s="94"/>
    </row>
    <row r="569" spans="5:14" ht="63">
      <c r="E569" s="125">
        <f t="shared" si="13"/>
        <v>0</v>
      </c>
      <c r="F569" s="231" t="s">
        <v>16</v>
      </c>
      <c r="G569" s="88">
        <f>G346+G348+G353+G341+G351</f>
        <v>72023822</v>
      </c>
      <c r="H569" s="88">
        <f>H346+H348+H353+H341+H351</f>
        <v>78508612</v>
      </c>
      <c r="I569" s="88">
        <f>I346+I348+I353+I341+I351</f>
        <v>150532434</v>
      </c>
      <c r="K569" s="94"/>
      <c r="N569" s="94"/>
    </row>
    <row r="570" spans="3:14" ht="63">
      <c r="C570" s="115">
        <f>I570-590197935</f>
        <v>-428336177</v>
      </c>
      <c r="E570" s="125">
        <f>G570+H570-I570</f>
        <v>0</v>
      </c>
      <c r="F570" s="231" t="s">
        <v>491</v>
      </c>
      <c r="G570" s="88">
        <f>G342+G356</f>
        <v>0</v>
      </c>
      <c r="H570" s="289">
        <f>H342+H356+H349</f>
        <v>161861758</v>
      </c>
      <c r="I570" s="289">
        <f>I342+I356+I349</f>
        <v>161861758</v>
      </c>
      <c r="J570" s="152"/>
      <c r="K570" s="94"/>
      <c r="N570" s="94"/>
    </row>
    <row r="571" spans="5:14" ht="27" customHeight="1">
      <c r="E571" s="125"/>
      <c r="F571" s="87" t="s">
        <v>525</v>
      </c>
      <c r="G571" s="88">
        <f>G240</f>
        <v>0</v>
      </c>
      <c r="H571" s="289">
        <f>H240</f>
        <v>0</v>
      </c>
      <c r="I571" s="88">
        <f>I240</f>
        <v>0</v>
      </c>
      <c r="J571" s="152"/>
      <c r="K571" s="94"/>
      <c r="N571" s="94"/>
    </row>
    <row r="572" spans="5:14" ht="47.25">
      <c r="E572" s="125">
        <f t="shared" si="13"/>
        <v>0</v>
      </c>
      <c r="F572" s="231" t="s">
        <v>474</v>
      </c>
      <c r="G572" s="88">
        <f>G354</f>
        <v>0</v>
      </c>
      <c r="H572" s="289">
        <f>H354</f>
        <v>0</v>
      </c>
      <c r="I572" s="88">
        <f>I354</f>
        <v>0</v>
      </c>
      <c r="K572" s="94"/>
      <c r="N572" s="94"/>
    </row>
    <row r="573" spans="5:14" ht="63">
      <c r="E573" s="125">
        <f t="shared" si="13"/>
        <v>0</v>
      </c>
      <c r="F573" s="85" t="s">
        <v>493</v>
      </c>
      <c r="G573" s="88">
        <f>G343+G349</f>
        <v>0</v>
      </c>
      <c r="H573" s="289">
        <f>H343</f>
        <v>5000000</v>
      </c>
      <c r="I573" s="289">
        <f>I343</f>
        <v>5000000</v>
      </c>
      <c r="K573" s="94"/>
      <c r="N573" s="94"/>
    </row>
    <row r="574" spans="5:14" ht="63">
      <c r="E574" s="125">
        <f t="shared" si="13"/>
        <v>0</v>
      </c>
      <c r="F574" s="231" t="s">
        <v>534</v>
      </c>
      <c r="G574" s="88">
        <f>G350</f>
        <v>598500</v>
      </c>
      <c r="H574" s="289">
        <f>H350</f>
        <v>0</v>
      </c>
      <c r="I574" s="88">
        <f>I350</f>
        <v>598500</v>
      </c>
      <c r="K574" s="94"/>
      <c r="N574" s="94"/>
    </row>
    <row r="575" spans="5:14" ht="63">
      <c r="E575" s="125">
        <f t="shared" si="13"/>
        <v>0</v>
      </c>
      <c r="F575" s="231" t="s">
        <v>497</v>
      </c>
      <c r="G575" s="88">
        <f>G420+G443+G465+G489+G511+G532+G553</f>
        <v>148713</v>
      </c>
      <c r="H575" s="289">
        <f>H420+H443+H465+H489+H511+H532+H553</f>
        <v>0</v>
      </c>
      <c r="I575" s="88">
        <f>I420+I443+I465+I489+I511+I532+I553</f>
        <v>148713</v>
      </c>
      <c r="J575" s="153"/>
      <c r="K575" s="94"/>
      <c r="N575" s="94"/>
    </row>
    <row r="576" spans="5:14" ht="63">
      <c r="E576" s="125">
        <f t="shared" si="13"/>
        <v>0</v>
      </c>
      <c r="F576" s="231" t="s">
        <v>473</v>
      </c>
      <c r="G576" s="88"/>
      <c r="H576" s="289"/>
      <c r="I576" s="88"/>
      <c r="J576" s="153"/>
      <c r="K576" s="94"/>
      <c r="N576" s="94"/>
    </row>
    <row r="577" spans="5:14" ht="78.75">
      <c r="E577" s="125">
        <f t="shared" si="13"/>
        <v>0</v>
      </c>
      <c r="F577" s="231" t="s">
        <v>542</v>
      </c>
      <c r="G577" s="87">
        <f>G384</f>
        <v>0</v>
      </c>
      <c r="H577" s="290">
        <f>H384</f>
        <v>0</v>
      </c>
      <c r="I577" s="87">
        <f>I384</f>
        <v>0</v>
      </c>
      <c r="J577" s="153"/>
      <c r="K577" s="94"/>
      <c r="N577" s="94"/>
    </row>
    <row r="578" spans="5:14" ht="63">
      <c r="E578" s="125">
        <f t="shared" si="13"/>
        <v>0</v>
      </c>
      <c r="F578" s="231" t="s">
        <v>533</v>
      </c>
      <c r="G578" s="88">
        <f>G18</f>
        <v>9509505</v>
      </c>
      <c r="H578" s="289">
        <f>H18</f>
        <v>5864355</v>
      </c>
      <c r="I578" s="88">
        <f>I18</f>
        <v>15373860</v>
      </c>
      <c r="J578" s="153"/>
      <c r="K578" s="94"/>
      <c r="N578" s="94"/>
    </row>
    <row r="579" spans="5:14" ht="47.25">
      <c r="E579" s="125">
        <f t="shared" si="13"/>
        <v>0</v>
      </c>
      <c r="F579" s="87" t="s">
        <v>510</v>
      </c>
      <c r="G579" s="88">
        <f>G142+G145+G146+G147+G148+G149+G150+G151+G153+G156+G157+G161+G165+G169+G159</f>
        <v>134064294</v>
      </c>
      <c r="H579" s="88">
        <f>H142+H145+H146+H147+H148+H149+H150+H151+H153+H156+H157+H161+H165+H169+H159</f>
        <v>7405604</v>
      </c>
      <c r="I579" s="88">
        <f>I142+I145+I146+I147+I148+I149+I150+I151+I153+I156+I157+I161+I165+I169+I159</f>
        <v>141469898</v>
      </c>
      <c r="J579" s="153"/>
      <c r="K579" s="94"/>
      <c r="N579" s="94"/>
    </row>
    <row r="580" spans="5:14" ht="63">
      <c r="E580" s="125">
        <f t="shared" si="13"/>
        <v>0</v>
      </c>
      <c r="F580" s="262" t="s">
        <v>1042</v>
      </c>
      <c r="G580" s="88">
        <f>G31+G419+G442+G464+G488+G510+G531+G552</f>
        <v>578694</v>
      </c>
      <c r="H580" s="289">
        <f>H31+H419+H442+H464+H488+H510+H531+H552</f>
        <v>0</v>
      </c>
      <c r="I580" s="88">
        <f>I31+I419+I442+I464+I488+I510+I531+I552</f>
        <v>578694</v>
      </c>
      <c r="J580" s="153"/>
      <c r="K580" s="94"/>
      <c r="N580" s="94"/>
    </row>
    <row r="581" spans="5:14" ht="47.25">
      <c r="E581" s="125">
        <f t="shared" si="13"/>
        <v>0</v>
      </c>
      <c r="F581" s="231" t="s">
        <v>487</v>
      </c>
      <c r="G581" s="88">
        <f>G32</f>
        <v>609849</v>
      </c>
      <c r="H581" s="289">
        <f>H32</f>
        <v>0</v>
      </c>
      <c r="I581" s="88">
        <f>I32</f>
        <v>609849</v>
      </c>
      <c r="J581" s="153"/>
      <c r="K581" s="94"/>
      <c r="N581" s="94"/>
    </row>
    <row r="582" spans="5:14" ht="63">
      <c r="E582" s="125">
        <f t="shared" si="13"/>
        <v>0</v>
      </c>
      <c r="F582" s="231" t="s">
        <v>508</v>
      </c>
      <c r="G582" s="88">
        <f>G368+G369</f>
        <v>9650756</v>
      </c>
      <c r="H582" s="289">
        <f>H368+H369</f>
        <v>214188</v>
      </c>
      <c r="I582" s="88">
        <f>I368+I369</f>
        <v>9864944</v>
      </c>
      <c r="J582" s="153"/>
      <c r="K582" s="94"/>
      <c r="N582" s="94"/>
    </row>
    <row r="583" spans="5:14" ht="63">
      <c r="E583" s="125">
        <f t="shared" si="13"/>
        <v>0</v>
      </c>
      <c r="F583" s="231" t="s">
        <v>1038</v>
      </c>
      <c r="G583" s="88">
        <f>G27</f>
        <v>5453660</v>
      </c>
      <c r="H583" s="289">
        <f>H27</f>
        <v>0</v>
      </c>
      <c r="I583" s="88">
        <f>I27</f>
        <v>5453660</v>
      </c>
      <c r="J583" s="153"/>
      <c r="K583" s="94"/>
      <c r="N583" s="94"/>
    </row>
    <row r="584" spans="5:14" ht="63">
      <c r="E584" s="125">
        <f t="shared" si="13"/>
        <v>0</v>
      </c>
      <c r="F584" s="231" t="s">
        <v>538</v>
      </c>
      <c r="G584" s="88">
        <f>G19</f>
        <v>900000</v>
      </c>
      <c r="H584" s="289">
        <f>H19</f>
        <v>0</v>
      </c>
      <c r="I584" s="88">
        <f>I19</f>
        <v>900000</v>
      </c>
      <c r="J584" s="153"/>
      <c r="K584" s="94"/>
      <c r="N584" s="94"/>
    </row>
    <row r="585" spans="5:14" ht="47.25">
      <c r="E585" s="125">
        <f t="shared" si="13"/>
        <v>0</v>
      </c>
      <c r="F585" s="231" t="s">
        <v>547</v>
      </c>
      <c r="G585" s="289">
        <f>G218+G216</f>
        <v>762399</v>
      </c>
      <c r="H585" s="289">
        <f>H218+H216</f>
        <v>3601481</v>
      </c>
      <c r="I585" s="289">
        <f>I218+I216</f>
        <v>4363880</v>
      </c>
      <c r="J585" s="153"/>
      <c r="K585" s="94"/>
      <c r="N585" s="94"/>
    </row>
    <row r="586" spans="5:14" ht="47.25">
      <c r="E586" s="125">
        <f t="shared" si="13"/>
        <v>0</v>
      </c>
      <c r="F586" s="231" t="s">
        <v>506</v>
      </c>
      <c r="G586" s="88">
        <f>G215</f>
        <v>0</v>
      </c>
      <c r="H586" s="289">
        <f>H215+H219</f>
        <v>826908</v>
      </c>
      <c r="I586" s="289">
        <f>I215+I219</f>
        <v>826908</v>
      </c>
      <c r="N586" s="94"/>
    </row>
    <row r="587" spans="5:14" ht="47.25">
      <c r="E587" s="125">
        <f t="shared" si="13"/>
        <v>0</v>
      </c>
      <c r="F587" s="231" t="s">
        <v>500</v>
      </c>
      <c r="G587" s="88">
        <f>G359</f>
        <v>0</v>
      </c>
      <c r="H587" s="289">
        <f>H359</f>
        <v>0</v>
      </c>
      <c r="I587" s="88">
        <f>I359</f>
        <v>0</v>
      </c>
      <c r="N587" s="94"/>
    </row>
    <row r="588" spans="5:14" ht="31.5">
      <c r="E588" s="125">
        <f t="shared" si="13"/>
        <v>0</v>
      </c>
      <c r="F588" s="398" t="s">
        <v>1213</v>
      </c>
      <c r="G588" s="88">
        <f>G38+G81+G446+G469+G492+G535+G556+G514+G388+G423</f>
        <v>0</v>
      </c>
      <c r="H588" s="289">
        <f>H37+H80+H513+H534+H208</f>
        <v>6682302</v>
      </c>
      <c r="I588" s="289">
        <f>I37+I80+I513+I534+I208</f>
        <v>6682302</v>
      </c>
      <c r="N588" s="94"/>
    </row>
    <row r="589" spans="5:14" ht="47.25">
      <c r="E589" s="125">
        <f t="shared" si="13"/>
        <v>0</v>
      </c>
      <c r="F589" s="412" t="s">
        <v>1251</v>
      </c>
      <c r="G589" s="88">
        <f>G267+G273+G275+G279+G282+G284+G287+G288+G401+G410+G413+G432+G454+G435+G457+G477+G480+G500+G503+G522+G525+G543+G546+G482</f>
        <v>458829252</v>
      </c>
      <c r="H589" s="88">
        <f>H267+H273+H275+H279+H282+H284+H287+H288+H401+H410+H413+H432+H454+H435+H457+H477+H480+H500+H503+H522+H525+H543+H546+H482</f>
        <v>366628574</v>
      </c>
      <c r="I589" s="88">
        <f>I267+I273+I275+I279+I282+I284+I287+I288+I401+I410+I413+I432+I454+I435+I457+I477+I480+I500+I503+I522+I525+I543+I546+I482</f>
        <v>825457826</v>
      </c>
      <c r="N589" s="94"/>
    </row>
    <row r="590" spans="5:14" ht="63">
      <c r="E590" s="125">
        <f t="shared" si="13"/>
        <v>0</v>
      </c>
      <c r="F590" s="271" t="s">
        <v>543</v>
      </c>
      <c r="G590" s="88">
        <f>G175</f>
        <v>312136</v>
      </c>
      <c r="H590" s="289">
        <f>H175</f>
        <v>108583</v>
      </c>
      <c r="I590" s="88">
        <f>I175</f>
        <v>420719</v>
      </c>
      <c r="N590" s="94"/>
    </row>
    <row r="591" spans="5:14" ht="47.25">
      <c r="E591" s="125">
        <f t="shared" si="13"/>
        <v>0</v>
      </c>
      <c r="F591" s="231" t="s">
        <v>546</v>
      </c>
      <c r="G591" s="88">
        <f>G259</f>
        <v>60991512</v>
      </c>
      <c r="H591" s="289">
        <f>H259</f>
        <v>556922</v>
      </c>
      <c r="I591" s="88">
        <f>I259</f>
        <v>61548434</v>
      </c>
      <c r="N591" s="94"/>
    </row>
    <row r="592" spans="5:14" ht="47.25">
      <c r="E592" s="125">
        <f t="shared" si="13"/>
        <v>0</v>
      </c>
      <c r="F592" s="412" t="s">
        <v>1261</v>
      </c>
      <c r="G592" s="88">
        <f>G49+G71</f>
        <v>11592244</v>
      </c>
      <c r="H592" s="289">
        <f>H49+H71</f>
        <v>161193</v>
      </c>
      <c r="I592" s="88">
        <f>I49+I71</f>
        <v>11753437</v>
      </c>
      <c r="N592" s="94"/>
    </row>
    <row r="593" spans="5:14" ht="31.5">
      <c r="E593" s="125">
        <f t="shared" si="13"/>
        <v>0</v>
      </c>
      <c r="F593" s="412" t="s">
        <v>1256</v>
      </c>
      <c r="G593" s="289">
        <f>G42+G44+G48+G55+G57+G63+G65+G66+G67+G68+G74+G75+G76+G77+G54</f>
        <v>97324244</v>
      </c>
      <c r="H593" s="289">
        <f>H42+H44+H48+H55+H57+H63+H65+H66+H67+H68+H74+H75+H76+H77+H54</f>
        <v>146446498</v>
      </c>
      <c r="I593" s="289">
        <f>I42+I44+I48+I55+I57+I63+I65+I66+I67+I68+I74+I75+I76+I77+I54</f>
        <v>243770742</v>
      </c>
      <c r="N593" s="94"/>
    </row>
    <row r="594" spans="5:14" ht="47.25">
      <c r="E594" s="125">
        <f t="shared" si="13"/>
        <v>0</v>
      </c>
      <c r="F594" s="231" t="s">
        <v>511</v>
      </c>
      <c r="G594" s="88">
        <f>G113+G115+G122+G124+G130+G132+G137+G119+G133+G126</f>
        <v>65618495</v>
      </c>
      <c r="H594" s="88">
        <f>H113+H115+H122+H124+H130+H132+H137+H119+H133+H126</f>
        <v>105092000</v>
      </c>
      <c r="I594" s="88">
        <f>I113+I115+I122+I124+I130+I132+I137+I119+I133+I126</f>
        <v>170710495</v>
      </c>
      <c r="N594" s="94"/>
    </row>
    <row r="595" spans="5:14" ht="63">
      <c r="E595" s="125">
        <f t="shared" si="13"/>
        <v>0</v>
      </c>
      <c r="F595" s="412" t="s">
        <v>1243</v>
      </c>
      <c r="G595" s="88">
        <f>G79+G263+G290+G335+G467</f>
        <v>0</v>
      </c>
      <c r="H595" s="289">
        <f>H79+H263+H290+H335+H467+H386+H362+H555</f>
        <v>43564578</v>
      </c>
      <c r="I595" s="289">
        <f>I79+I263+I290+I335+I467+I386+I362+I555</f>
        <v>43564578</v>
      </c>
      <c r="N595" s="94"/>
    </row>
    <row r="596" spans="5:14" ht="47.25">
      <c r="E596" s="125">
        <f t="shared" si="13"/>
        <v>0</v>
      </c>
      <c r="F596" s="231" t="s">
        <v>505</v>
      </c>
      <c r="G596" s="88">
        <f>G138+G116+G127</f>
        <v>57021300</v>
      </c>
      <c r="H596" s="289">
        <f>H138+H116+H127</f>
        <v>22446606</v>
      </c>
      <c r="I596" s="88">
        <f>I138+I116+I127</f>
        <v>79467906</v>
      </c>
      <c r="N596" s="94"/>
    </row>
    <row r="597" spans="5:9" ht="47.25">
      <c r="E597" s="125">
        <f t="shared" si="13"/>
        <v>0</v>
      </c>
      <c r="F597" s="231" t="s">
        <v>527</v>
      </c>
      <c r="G597" s="88">
        <f>G85+G93+G94+G96+G99+G101+G103+G105+G458</f>
        <v>21502998</v>
      </c>
      <c r="H597" s="289">
        <f>H85+H93+H94+H96+H99+H101+H103+H105+H458</f>
        <v>12308620</v>
      </c>
      <c r="I597" s="88">
        <f>I85+I93+I94+I96+I99+I101+I103+I105+I458</f>
        <v>33811618</v>
      </c>
    </row>
    <row r="598" spans="5:9" ht="30" customHeight="1">
      <c r="E598" s="125">
        <f t="shared" si="13"/>
        <v>0</v>
      </c>
      <c r="F598" s="85" t="s">
        <v>1193</v>
      </c>
      <c r="G598" s="88">
        <f>G225</f>
        <v>2215330</v>
      </c>
      <c r="H598" s="289">
        <f>H225</f>
        <v>0</v>
      </c>
      <c r="I598" s="88">
        <f>I225</f>
        <v>2215330</v>
      </c>
    </row>
    <row r="599" spans="5:9" ht="33.75" customHeight="1">
      <c r="E599" s="125">
        <f t="shared" si="13"/>
        <v>0</v>
      </c>
      <c r="F599" s="231" t="s">
        <v>539</v>
      </c>
      <c r="G599" s="88">
        <f>G333</f>
        <v>0</v>
      </c>
      <c r="H599" s="289">
        <f>H333</f>
        <v>0</v>
      </c>
      <c r="I599" s="88">
        <f>I333</f>
        <v>0</v>
      </c>
    </row>
    <row r="600" spans="5:9" ht="28.5" customHeight="1">
      <c r="E600" s="125">
        <f t="shared" si="13"/>
        <v>0</v>
      </c>
      <c r="F600" s="231" t="s">
        <v>526</v>
      </c>
      <c r="G600" s="88">
        <f>G418+G441+G463+G487+G509+G530+G551</f>
        <v>337937</v>
      </c>
      <c r="H600" s="289">
        <f>H418+H441+H463+H487+H509+H530+H551</f>
        <v>0</v>
      </c>
      <c r="I600" s="88">
        <f>I418+I441+I463+I487+I509+I530+I551</f>
        <v>337937</v>
      </c>
    </row>
    <row r="601" spans="5:9" ht="28.5" customHeight="1">
      <c r="E601" s="125">
        <f t="shared" si="13"/>
        <v>0</v>
      </c>
      <c r="F601" s="100" t="s">
        <v>435</v>
      </c>
      <c r="G601" s="88">
        <f>G47+G52+G56+G59+G62+G69+G97+G118+G121+G123+G125+G129+G154+G162+G167+G190+G192+G195+G237+G241+G243+G249+G255+G261+G276+G280+G355+G409+G433+G411+G478+G501+G504+G523+G544+G431+G100</f>
        <v>35882942</v>
      </c>
      <c r="H601" s="88">
        <f>H47+H52+H56+H59+H62+H69+H97+H118+H121+H123+H125+H129+H154+H162+H167+H190+H192+H195+H237+H241+H243+H249+H255+H261+H276+H280+H355+H409+H433+H411+H478+H501+H504+H523+H544+H431+H100</f>
        <v>8917058</v>
      </c>
      <c r="I601" s="88">
        <f>I47+I52+I56+I59+I62+I69+I97+I118+I121+I123+I125+I129+I154+I162+I167+I190+I192+I195+I237+I241+I243+I249+I255+I261+I276+I280+I355+I409+I433+I411+I478+I501+I504+I523+I544+I431+I100</f>
        <v>44800000</v>
      </c>
    </row>
    <row r="602" spans="5:9" ht="28.5" customHeight="1">
      <c r="E602" s="125">
        <f t="shared" si="13"/>
        <v>0</v>
      </c>
      <c r="F602" s="231" t="s">
        <v>509</v>
      </c>
      <c r="G602" s="88">
        <f>G260</f>
        <v>1239468</v>
      </c>
      <c r="H602" s="289">
        <f>H260</f>
        <v>0</v>
      </c>
      <c r="I602" s="88">
        <f>I260</f>
        <v>1239468</v>
      </c>
    </row>
    <row r="603" spans="5:9" ht="28.5" customHeight="1">
      <c r="E603" s="125">
        <f>G603+H603-I603</f>
        <v>0</v>
      </c>
      <c r="F603" s="231" t="s">
        <v>1187</v>
      </c>
      <c r="G603" s="88">
        <f>G14+G173+G182+G229+G310+G314+G322+G328+G339+G366+G373+G405+G427+G450+G473+G496+G518+G539+G436+G209</f>
        <v>0</v>
      </c>
      <c r="H603" s="88">
        <f>H14+H173+H182+H229+H310+H314+H322+H328+H339+H366+H373+H405+H427+H450+H473+H496+H518+H539+H436+H209</f>
        <v>21451935</v>
      </c>
      <c r="I603" s="88">
        <f>I14+I173+I182+I229+I310+I314+I322+I328+I339+I366+I373+I405+I427+I450+I473+I496+I518+I539+I436+I209</f>
        <v>21451935</v>
      </c>
    </row>
    <row r="604" spans="5:9" ht="38.25" customHeight="1">
      <c r="E604" s="125">
        <f t="shared" si="13"/>
        <v>0</v>
      </c>
      <c r="F604" s="231" t="s">
        <v>14</v>
      </c>
      <c r="G604" s="88">
        <f>G60+G72+G163</f>
        <v>662972</v>
      </c>
      <c r="H604" s="289">
        <f>H60+H72+H163</f>
        <v>0</v>
      </c>
      <c r="I604" s="88">
        <f>I60+I72+I163</f>
        <v>662972</v>
      </c>
    </row>
    <row r="605" spans="5:9" ht="63">
      <c r="E605" s="125">
        <f t="shared" si="13"/>
        <v>0</v>
      </c>
      <c r="F605" s="231" t="s">
        <v>475</v>
      </c>
      <c r="G605" s="88">
        <f>G45+G51+G58</f>
        <v>0</v>
      </c>
      <c r="H605" s="289">
        <f>H45+H51+H58</f>
        <v>0</v>
      </c>
      <c r="I605" s="88">
        <f>I45+I51+I58</f>
        <v>0</v>
      </c>
    </row>
    <row r="606" spans="5:9" ht="47.25">
      <c r="E606" s="125"/>
      <c r="F606" s="400" t="s">
        <v>1224</v>
      </c>
      <c r="G606" s="88">
        <f>G416+G439+G485+G461+G507+G528+G549</f>
        <v>1447691</v>
      </c>
      <c r="H606" s="289">
        <f>H416+H439+H485+H461+H507+H528+H549</f>
        <v>0</v>
      </c>
      <c r="I606" s="88">
        <f>I416+I439+I485+I461+I507+I528+I549</f>
        <v>1447691</v>
      </c>
    </row>
    <row r="607" spans="5:9" ht="47.25">
      <c r="E607" s="125">
        <f t="shared" si="13"/>
        <v>0</v>
      </c>
      <c r="F607" s="85" t="s">
        <v>1039</v>
      </c>
      <c r="G607" s="88">
        <f>G277+G224</f>
        <v>1636630</v>
      </c>
      <c r="H607" s="289">
        <f>H277+H224</f>
        <v>0</v>
      </c>
      <c r="I607" s="88">
        <f>I277+I224</f>
        <v>1636630</v>
      </c>
    </row>
    <row r="608" spans="5:9" ht="63">
      <c r="E608" s="125">
        <f t="shared" si="13"/>
        <v>0</v>
      </c>
      <c r="F608" s="231" t="s">
        <v>524</v>
      </c>
      <c r="G608" s="88">
        <f>G240</f>
        <v>0</v>
      </c>
      <c r="H608" s="289">
        <f>H240</f>
        <v>0</v>
      </c>
      <c r="I608" s="88">
        <f>I240</f>
        <v>0</v>
      </c>
    </row>
    <row r="609" spans="5:9" ht="31.5">
      <c r="E609" s="125">
        <f t="shared" si="13"/>
        <v>0</v>
      </c>
      <c r="F609" s="231" t="s">
        <v>498</v>
      </c>
      <c r="G609" s="88">
        <f>G61</f>
        <v>42985346</v>
      </c>
      <c r="H609" s="289">
        <f>H61</f>
        <v>210600</v>
      </c>
      <c r="I609" s="88">
        <f>I61</f>
        <v>43195946</v>
      </c>
    </row>
    <row r="610" spans="5:9" ht="47.25">
      <c r="E610" s="125"/>
      <c r="F610" s="231" t="s">
        <v>489</v>
      </c>
      <c r="G610" s="88">
        <f>G301+G302+G305</f>
        <v>969400</v>
      </c>
      <c r="H610" s="289">
        <f>H301+H302+H305</f>
        <v>4144990</v>
      </c>
      <c r="I610" s="88">
        <f>I301+I302+I305</f>
        <v>5114390</v>
      </c>
    </row>
    <row r="611" spans="5:9" ht="31.5">
      <c r="E611" s="125"/>
      <c r="F611" s="231" t="s">
        <v>205</v>
      </c>
      <c r="G611" s="88">
        <f>G324</f>
        <v>0</v>
      </c>
      <c r="H611" s="289">
        <f>H324</f>
        <v>0</v>
      </c>
      <c r="I611" s="88">
        <f>I324</f>
        <v>0</v>
      </c>
    </row>
    <row r="612" spans="5:9" ht="47.25">
      <c r="E612" s="125"/>
      <c r="F612" s="231" t="s">
        <v>507</v>
      </c>
      <c r="G612" s="88">
        <f>G233+G236+G239+G242+G246+G248+G251+G252+G254+G258+G375+G376+G408+G417+G430+G440+G453+G462+G476+G486+G499+G508+G521+G529+G542+G550+G383+G330+G244+G378</f>
        <v>382690838</v>
      </c>
      <c r="H612" s="88">
        <f>H233+H236+H239+H242+H246+H248+H251+H252+H254+H258+H375+H376+H408+H417+H430+H440+H453+H462+H476+H486+H499+H508+H521+H529+H542+H550+H383+H330+H244+H378</f>
        <v>593456297</v>
      </c>
      <c r="I612" s="88">
        <f>I233+I236+I239+I242+I246+I248+I251+I252+I254+I258+I375+I376+I408+I417+I430+I440+I453+I462+I476+I486+I499+I508+I521+I529+I542+I550+I383+I330+I244+I378</f>
        <v>976147135</v>
      </c>
    </row>
    <row r="613" spans="5:9" ht="47.25">
      <c r="E613" s="125"/>
      <c r="F613" s="231" t="s">
        <v>545</v>
      </c>
      <c r="G613" s="88">
        <f>G166</f>
        <v>23405178</v>
      </c>
      <c r="H613" s="289">
        <f>H166</f>
        <v>0</v>
      </c>
      <c r="I613" s="88">
        <f>I166</f>
        <v>23405178</v>
      </c>
    </row>
    <row r="614" spans="5:9" ht="47.25">
      <c r="E614" s="125"/>
      <c r="F614" s="231" t="s">
        <v>208</v>
      </c>
      <c r="G614" s="88">
        <f>G306</f>
        <v>0</v>
      </c>
      <c r="H614" s="289">
        <f>H306</f>
        <v>0</v>
      </c>
      <c r="I614" s="88">
        <f>I306</f>
        <v>0</v>
      </c>
    </row>
    <row r="615" spans="5:9" ht="47.25">
      <c r="E615" s="125"/>
      <c r="F615" s="231" t="s">
        <v>492</v>
      </c>
      <c r="G615" s="88">
        <f>G28</f>
        <v>0</v>
      </c>
      <c r="H615" s="289">
        <f>H28</f>
        <v>0</v>
      </c>
      <c r="I615" s="88">
        <f>I28</f>
        <v>0</v>
      </c>
    </row>
    <row r="616" spans="5:9" ht="63">
      <c r="E616" s="125"/>
      <c r="F616" s="231" t="s">
        <v>532</v>
      </c>
      <c r="G616" s="88">
        <f>G221</f>
        <v>680000</v>
      </c>
      <c r="H616" s="289">
        <f>H221</f>
        <v>0</v>
      </c>
      <c r="I616" s="88">
        <f>I221</f>
        <v>680000</v>
      </c>
    </row>
    <row r="617" spans="5:9" ht="31.5">
      <c r="E617" s="125"/>
      <c r="F617" s="398" t="s">
        <v>1214</v>
      </c>
      <c r="G617" s="88">
        <f>G87</f>
        <v>1640155</v>
      </c>
      <c r="H617" s="289">
        <f>H87</f>
        <v>0</v>
      </c>
      <c r="I617" s="88">
        <f>I87</f>
        <v>1640155</v>
      </c>
    </row>
    <row r="618" spans="5:9" ht="47.25">
      <c r="E618" s="125"/>
      <c r="F618" s="231" t="s">
        <v>504</v>
      </c>
      <c r="G618" s="88">
        <f>G108+G109</f>
        <v>8285772</v>
      </c>
      <c r="H618" s="289">
        <f>H108+H109</f>
        <v>340089</v>
      </c>
      <c r="I618" s="88">
        <f>I108+I109</f>
        <v>8625861</v>
      </c>
    </row>
    <row r="619" spans="5:9" ht="31.5">
      <c r="E619" s="125"/>
      <c r="F619" s="398" t="s">
        <v>1217</v>
      </c>
      <c r="G619" s="88">
        <f>G206</f>
        <v>692914</v>
      </c>
      <c r="H619" s="289">
        <f>H206</f>
        <v>0</v>
      </c>
      <c r="I619" s="88">
        <f>I206</f>
        <v>692914</v>
      </c>
    </row>
    <row r="620" spans="1:14" s="134" customFormat="1" ht="36.75" customHeight="1">
      <c r="A620" s="323"/>
      <c r="B620" s="323"/>
      <c r="C620" s="323"/>
      <c r="D620" s="323"/>
      <c r="E620" s="360"/>
      <c r="F620" s="262" t="s">
        <v>1041</v>
      </c>
      <c r="G620" s="89">
        <f>G33</f>
        <v>139000</v>
      </c>
      <c r="H620" s="291">
        <f>H33</f>
        <v>0</v>
      </c>
      <c r="I620" s="89">
        <f>I33</f>
        <v>139000</v>
      </c>
      <c r="J620" s="154"/>
      <c r="K620" s="133"/>
      <c r="N620" s="135"/>
    </row>
    <row r="621" spans="1:14" s="134" customFormat="1" ht="36.75" customHeight="1">
      <c r="A621" s="323"/>
      <c r="B621" s="323"/>
      <c r="C621" s="323"/>
      <c r="D621" s="323"/>
      <c r="E621" s="360"/>
      <c r="F621" s="403" t="s">
        <v>1230</v>
      </c>
      <c r="G621" s="89">
        <f>G194+G64+G53+G455</f>
        <v>284199</v>
      </c>
      <c r="H621" s="89">
        <f>H194+H64+H53+H455</f>
        <v>123565</v>
      </c>
      <c r="I621" s="89">
        <f>I194+I64+I53+I455</f>
        <v>407764</v>
      </c>
      <c r="J621" s="154"/>
      <c r="K621" s="133"/>
      <c r="N621" s="135"/>
    </row>
    <row r="622" spans="1:14" s="134" customFormat="1" ht="51" customHeight="1">
      <c r="A622" s="323"/>
      <c r="B622" s="323"/>
      <c r="C622" s="323"/>
      <c r="D622" s="323"/>
      <c r="E622" s="360"/>
      <c r="F622" s="231" t="s">
        <v>1170</v>
      </c>
      <c r="G622" s="89">
        <f>G46+G50</f>
        <v>20000000</v>
      </c>
      <c r="H622" s="89">
        <f>H46+H50+H117+H128+H120</f>
        <v>10000000</v>
      </c>
      <c r="I622" s="89">
        <f>I46+I50+I117+I128+I120</f>
        <v>30000000</v>
      </c>
      <c r="J622" s="154"/>
      <c r="K622" s="133"/>
      <c r="N622" s="135"/>
    </row>
    <row r="623" spans="1:14" s="134" customFormat="1" ht="36.75" customHeight="1">
      <c r="A623" s="323"/>
      <c r="B623" s="323"/>
      <c r="C623" s="323"/>
      <c r="D623" s="323"/>
      <c r="E623" s="360"/>
      <c r="F623" s="258" t="s">
        <v>1215</v>
      </c>
      <c r="G623" s="89">
        <f>G89</f>
        <v>2076077</v>
      </c>
      <c r="H623" s="89">
        <f>H89</f>
        <v>0</v>
      </c>
      <c r="I623" s="89">
        <f>I89</f>
        <v>2076077</v>
      </c>
      <c r="J623" s="154"/>
      <c r="K623" s="133"/>
      <c r="N623" s="135"/>
    </row>
    <row r="624" spans="1:14" s="134" customFormat="1" ht="36.75" customHeight="1">
      <c r="A624" s="323"/>
      <c r="B624" s="323"/>
      <c r="C624" s="323"/>
      <c r="D624" s="323"/>
      <c r="E624" s="360"/>
      <c r="F624" s="398" t="s">
        <v>1212</v>
      </c>
      <c r="G624" s="89">
        <f>G35+G234+G268+G393+G406+G428+G451+G474+G497+G519+G540</f>
        <v>12340705</v>
      </c>
      <c r="H624" s="89">
        <f>H35+H234+H268+H393+H406+H428+H451+H474+H497+H519+H540</f>
        <v>24444329</v>
      </c>
      <c r="I624" s="89">
        <f>I35+I234+I268+I393+I406+I428+I451+I474+I497+I519+I540</f>
        <v>36785034</v>
      </c>
      <c r="J624" s="154"/>
      <c r="K624" s="133"/>
      <c r="N624" s="135"/>
    </row>
    <row r="625" spans="1:14" s="134" customFormat="1" ht="36.75" customHeight="1">
      <c r="A625" s="323"/>
      <c r="B625" s="323"/>
      <c r="C625" s="323"/>
      <c r="D625" s="323"/>
      <c r="E625" s="360"/>
      <c r="F625" s="389" t="s">
        <v>1192</v>
      </c>
      <c r="G625" s="89">
        <f>G380</f>
        <v>0</v>
      </c>
      <c r="H625" s="89">
        <f>H380</f>
        <v>0</v>
      </c>
      <c r="I625" s="89">
        <f>I380</f>
        <v>0</v>
      </c>
      <c r="J625" s="154"/>
      <c r="K625" s="133"/>
      <c r="N625" s="135"/>
    </row>
    <row r="626" spans="1:14" s="134" customFormat="1" ht="36.75" customHeight="1">
      <c r="A626" s="323"/>
      <c r="B626" s="323"/>
      <c r="C626" s="323"/>
      <c r="D626" s="323"/>
      <c r="E626" s="360"/>
      <c r="F626" s="339" t="s">
        <v>499</v>
      </c>
      <c r="G626" s="89">
        <f>G392</f>
        <v>20000</v>
      </c>
      <c r="H626" s="89">
        <f>H392</f>
        <v>0</v>
      </c>
      <c r="I626" s="89">
        <f>I392</f>
        <v>20000</v>
      </c>
      <c r="J626" s="154"/>
      <c r="K626" s="133"/>
      <c r="N626" s="135"/>
    </row>
    <row r="627" spans="1:14" s="134" customFormat="1" ht="36.75" customHeight="1">
      <c r="A627" s="323"/>
      <c r="B627" s="323"/>
      <c r="C627" s="323"/>
      <c r="D627" s="323"/>
      <c r="E627" s="360"/>
      <c r="F627" s="405" t="s">
        <v>1289</v>
      </c>
      <c r="G627" s="89">
        <f>G316+G318</f>
        <v>600369</v>
      </c>
      <c r="H627" s="89">
        <f>H316+H318</f>
        <v>461300</v>
      </c>
      <c r="I627" s="89">
        <f>I316+I318</f>
        <v>1061669</v>
      </c>
      <c r="J627" s="154"/>
      <c r="K627" s="133"/>
      <c r="N627" s="135"/>
    </row>
    <row r="628" spans="1:14" s="136" customFormat="1" ht="15.75">
      <c r="A628" s="324"/>
      <c r="B628" s="324"/>
      <c r="C628" s="324"/>
      <c r="D628" s="324"/>
      <c r="E628" s="318"/>
      <c r="F628" s="90" t="s">
        <v>265</v>
      </c>
      <c r="G628" s="91">
        <f>SUM(G563:G627)</f>
        <v>1564333014</v>
      </c>
      <c r="H628" s="91">
        <f>SUM(H563:H627)</f>
        <v>1752834199</v>
      </c>
      <c r="I628" s="91">
        <f>SUM(I563:I627)</f>
        <v>3317167213</v>
      </c>
      <c r="J628" s="155"/>
      <c r="N628" s="137"/>
    </row>
    <row r="629" spans="3:14" ht="27.75" customHeight="1">
      <c r="C629" s="231"/>
      <c r="D629" s="231"/>
      <c r="E629" s="305"/>
      <c r="F629" s="90" t="s">
        <v>1188</v>
      </c>
      <c r="G629" s="95">
        <f>G557-G628</f>
        <v>0</v>
      </c>
      <c r="H629" s="292">
        <f>H557-H628</f>
        <v>0</v>
      </c>
      <c r="I629" s="95">
        <f>I557-I628</f>
        <v>0</v>
      </c>
      <c r="J629" s="152"/>
      <c r="N629" s="94"/>
    </row>
    <row r="630" spans="3:14" ht="27.75" customHeight="1">
      <c r="C630" s="231"/>
      <c r="D630" s="325">
        <v>1060</v>
      </c>
      <c r="E630" s="75" t="s">
        <v>1029</v>
      </c>
      <c r="F630" s="78">
        <v>70303</v>
      </c>
      <c r="G630" s="191">
        <f>G175</f>
        <v>312136</v>
      </c>
      <c r="H630" s="293">
        <f>H175</f>
        <v>108583</v>
      </c>
      <c r="I630" s="191">
        <f>I175</f>
        <v>420719</v>
      </c>
      <c r="J630" s="152"/>
      <c r="N630" s="94"/>
    </row>
    <row r="631" spans="3:14" ht="35.25" customHeight="1">
      <c r="C631" s="231"/>
      <c r="D631" s="325">
        <v>3030</v>
      </c>
      <c r="E631" s="75" t="s">
        <v>1036</v>
      </c>
      <c r="F631" s="78" t="s">
        <v>1035</v>
      </c>
      <c r="G631" s="76">
        <f>G87+G157+G156</f>
        <v>2000288</v>
      </c>
      <c r="H631" s="294">
        <f>H87+H157+H156</f>
        <v>0</v>
      </c>
      <c r="I631" s="76">
        <f>I87+I157+I156</f>
        <v>2000288</v>
      </c>
      <c r="J631" s="152"/>
      <c r="N631" s="94"/>
    </row>
    <row r="632" spans="3:14" ht="35.25" customHeight="1">
      <c r="C632" s="412"/>
      <c r="D632" s="325">
        <v>3081</v>
      </c>
      <c r="E632" s="75" t="s">
        <v>1302</v>
      </c>
      <c r="F632" s="78">
        <v>91205</v>
      </c>
      <c r="G632" s="76">
        <f>G159</f>
        <v>3530339</v>
      </c>
      <c r="H632" s="76">
        <f>H159</f>
        <v>0</v>
      </c>
      <c r="I632" s="76">
        <f>I159</f>
        <v>3530339</v>
      </c>
      <c r="J632" s="152"/>
      <c r="N632" s="94"/>
    </row>
    <row r="633" spans="3:14" ht="18.75">
      <c r="C633" s="231"/>
      <c r="D633" s="325">
        <v>3400</v>
      </c>
      <c r="E633" s="75" t="s">
        <v>93</v>
      </c>
      <c r="F633" s="78">
        <v>90412</v>
      </c>
      <c r="G633" s="76">
        <f>G165+G166+G167+G272+G273+G89</f>
        <v>74882452</v>
      </c>
      <c r="H633" s="76">
        <f>H165+H166+H167+H272+H273+H89</f>
        <v>0</v>
      </c>
      <c r="I633" s="76">
        <f>I165+I166+I167+I272+I273+I89</f>
        <v>74882452</v>
      </c>
      <c r="J633" s="152"/>
      <c r="N633" s="94"/>
    </row>
    <row r="634" spans="3:14" ht="18.75">
      <c r="C634" s="231"/>
      <c r="D634" s="325">
        <v>3160</v>
      </c>
      <c r="E634" s="75" t="s">
        <v>1030</v>
      </c>
      <c r="F634" s="78">
        <v>91108</v>
      </c>
      <c r="G634" s="76">
        <f>G71</f>
        <v>10746342</v>
      </c>
      <c r="H634" s="294">
        <f>H71</f>
        <v>0</v>
      </c>
      <c r="I634" s="76">
        <f>I71</f>
        <v>10746342</v>
      </c>
      <c r="J634" s="152"/>
      <c r="N634" s="94"/>
    </row>
    <row r="635" spans="3:14" ht="18.75">
      <c r="C635" s="231"/>
      <c r="D635" s="325">
        <v>3202</v>
      </c>
      <c r="E635" s="75" t="s">
        <v>1034</v>
      </c>
      <c r="F635" s="78">
        <v>91209</v>
      </c>
      <c r="G635" s="76">
        <f>G161+G162</f>
        <v>2653808</v>
      </c>
      <c r="H635" s="294">
        <f>H161+H162</f>
        <v>191000</v>
      </c>
      <c r="I635" s="76">
        <f>I161+I162</f>
        <v>2844808</v>
      </c>
      <c r="J635" s="152"/>
      <c r="N635" s="94"/>
    </row>
    <row r="636" spans="3:14" ht="18" customHeight="1">
      <c r="C636" s="436">
        <v>3030</v>
      </c>
      <c r="D636" s="325">
        <v>3031</v>
      </c>
      <c r="E636" s="75" t="s">
        <v>1031</v>
      </c>
      <c r="F636" s="78">
        <v>90203</v>
      </c>
      <c r="G636" s="76">
        <f aca="true" t="shared" si="14" ref="G636:I638">G145</f>
        <v>2511906</v>
      </c>
      <c r="H636" s="294">
        <f t="shared" si="14"/>
        <v>80000</v>
      </c>
      <c r="I636" s="76">
        <f t="shared" si="14"/>
        <v>2591906</v>
      </c>
      <c r="J636" s="152"/>
      <c r="N636" s="94"/>
    </row>
    <row r="637" spans="3:14" ht="18" customHeight="1">
      <c r="C637" s="437"/>
      <c r="D637" s="325">
        <v>3033</v>
      </c>
      <c r="E637" s="75" t="s">
        <v>1032</v>
      </c>
      <c r="F637" s="78">
        <v>90209</v>
      </c>
      <c r="G637" s="76">
        <f t="shared" si="14"/>
        <v>81291</v>
      </c>
      <c r="H637" s="294">
        <f t="shared" si="14"/>
        <v>0</v>
      </c>
      <c r="I637" s="76">
        <f t="shared" si="14"/>
        <v>81291</v>
      </c>
      <c r="J637" s="152"/>
      <c r="N637" s="94"/>
    </row>
    <row r="638" spans="3:14" ht="18" customHeight="1">
      <c r="C638" s="437"/>
      <c r="D638" s="325">
        <v>3034</v>
      </c>
      <c r="E638" s="75" t="s">
        <v>1033</v>
      </c>
      <c r="F638" s="78">
        <v>90214</v>
      </c>
      <c r="G638" s="76">
        <f t="shared" si="14"/>
        <v>3924640</v>
      </c>
      <c r="H638" s="294">
        <f t="shared" si="14"/>
        <v>0</v>
      </c>
      <c r="I638" s="76">
        <f t="shared" si="14"/>
        <v>3924640</v>
      </c>
      <c r="J638" s="152"/>
      <c r="N638" s="94"/>
    </row>
    <row r="639" spans="3:14" ht="19.5" customHeight="1">
      <c r="C639" s="438"/>
      <c r="D639" s="325"/>
      <c r="E639" s="75"/>
      <c r="F639" s="78" t="s">
        <v>1045</v>
      </c>
      <c r="G639" s="76">
        <f>G148+G149+G150+G151</f>
        <v>64944499</v>
      </c>
      <c r="H639" s="294">
        <f>H148+H149+H150+H151</f>
        <v>0</v>
      </c>
      <c r="I639" s="76">
        <f>I148+I149+I150+I151</f>
        <v>64944499</v>
      </c>
      <c r="J639" s="152"/>
      <c r="N639" s="94"/>
    </row>
    <row r="640" spans="3:14" ht="18.75">
      <c r="C640" s="231"/>
      <c r="D640" s="325">
        <v>3240</v>
      </c>
      <c r="E640" s="361" t="s">
        <v>496</v>
      </c>
      <c r="F640" s="78">
        <v>90501</v>
      </c>
      <c r="G640" s="76">
        <f>G72+G163+G270</f>
        <v>662972</v>
      </c>
      <c r="H640" s="294">
        <f>H72+H163+H270</f>
        <v>0</v>
      </c>
      <c r="I640" s="76">
        <f>I72+I163+I270</f>
        <v>662972</v>
      </c>
      <c r="J640" s="152"/>
      <c r="N640" s="94"/>
    </row>
    <row r="641" spans="3:14" ht="25.5">
      <c r="C641" s="231"/>
      <c r="D641" s="325">
        <v>3112</v>
      </c>
      <c r="E641" s="362" t="s">
        <v>735</v>
      </c>
      <c r="F641" s="78">
        <v>90802</v>
      </c>
      <c r="G641" s="76">
        <f>G178</f>
        <v>506795</v>
      </c>
      <c r="H641" s="294">
        <f>H178</f>
        <v>0</v>
      </c>
      <c r="I641" s="76">
        <f>I178</f>
        <v>506795</v>
      </c>
      <c r="J641" s="152">
        <v>41855128</v>
      </c>
      <c r="K641" s="173">
        <f>G642-J641</f>
        <v>924903</v>
      </c>
      <c r="N641" s="94"/>
    </row>
    <row r="642" spans="3:14" ht="31.5">
      <c r="C642" s="231"/>
      <c r="D642" s="325">
        <v>6010</v>
      </c>
      <c r="E642" s="75" t="s">
        <v>1043</v>
      </c>
      <c r="F642" s="78">
        <v>100101</v>
      </c>
      <c r="G642" s="76">
        <f>G236+G408+G409+G430+G453+G476+G499+G521+G542+G237+G431</f>
        <v>42780031</v>
      </c>
      <c r="H642" s="76">
        <f>H236+H408+H409+H430+H453+H476+H499+H521+H542+H237+H431</f>
        <v>0</v>
      </c>
      <c r="I642" s="76">
        <f>I236+I408+I409+I430+I453+I476+I499+I521+I542+I237+I431</f>
        <v>42780031</v>
      </c>
      <c r="J642" s="152">
        <f>J641-G642</f>
        <v>-924903</v>
      </c>
      <c r="N642" s="94"/>
    </row>
    <row r="643" spans="1:14" ht="18.75">
      <c r="A643" s="115"/>
      <c r="B643" s="115"/>
      <c r="C643" s="231"/>
      <c r="D643" s="325">
        <v>6060</v>
      </c>
      <c r="E643" s="75" t="s">
        <v>1044</v>
      </c>
      <c r="F643" s="78">
        <v>100203</v>
      </c>
      <c r="G643" s="294">
        <f>G275+G276+G277+G410+G411+G432+G454+G477+G478+G500+G501+G523+G543+G544+G522+G433+G455</f>
        <v>160465644</v>
      </c>
      <c r="H643" s="294">
        <f>H275+H276+H277+H410+H411+H432+H454+H477+H478+H500+H501+H523+H543+H544+H522+H433+H455</f>
        <v>19507715</v>
      </c>
      <c r="I643" s="294">
        <f>I275+I276+I277+I410+I411+I432+I454+I477+I478+I500+I501+I523+I543+I544+I522+I433+I455</f>
        <v>179973359</v>
      </c>
      <c r="J643" s="157">
        <f>H643-J477-J454-J432</f>
        <v>19095484</v>
      </c>
      <c r="K643" s="173"/>
      <c r="N643" s="94"/>
    </row>
    <row r="644" spans="1:14" ht="18.75">
      <c r="A644" s="115"/>
      <c r="B644" s="115"/>
      <c r="C644" s="412"/>
      <c r="D644" s="325">
        <v>6051</v>
      </c>
      <c r="E644" s="75"/>
      <c r="F644" s="78">
        <v>100201</v>
      </c>
      <c r="G644" s="76">
        <f>G245</f>
        <v>3565489</v>
      </c>
      <c r="H644" s="76">
        <f>H245</f>
        <v>2319216</v>
      </c>
      <c r="I644" s="76">
        <f>I245</f>
        <v>5884705</v>
      </c>
      <c r="J644" s="157">
        <f>G643-136877434</f>
        <v>23588210</v>
      </c>
      <c r="K644" s="173"/>
      <c r="N644" s="94"/>
    </row>
    <row r="645" spans="3:14" ht="18.75">
      <c r="C645" s="231"/>
      <c r="D645" s="325">
        <v>6650</v>
      </c>
      <c r="E645" s="75" t="s">
        <v>1026</v>
      </c>
      <c r="F645" s="78">
        <v>170703</v>
      </c>
      <c r="G645" s="76">
        <f>G282+G482</f>
        <v>297456814</v>
      </c>
      <c r="H645" s="76">
        <f>H282+H482</f>
        <v>180767453</v>
      </c>
      <c r="I645" s="76">
        <f>I282+I482</f>
        <v>478224267</v>
      </c>
      <c r="J645" s="152"/>
      <c r="K645" s="173"/>
      <c r="M645" s="175">
        <f>136158359-G643</f>
        <v>-24307285</v>
      </c>
      <c r="N645" s="94"/>
    </row>
    <row r="646" spans="3:14" ht="18.75">
      <c r="C646" s="231"/>
      <c r="D646" s="325">
        <v>7200</v>
      </c>
      <c r="E646" s="75" t="s">
        <v>559</v>
      </c>
      <c r="F646" s="78">
        <v>120000</v>
      </c>
      <c r="G646" s="76">
        <f>G19+G18</f>
        <v>10409505</v>
      </c>
      <c r="H646" s="294">
        <f>H19+H18</f>
        <v>5864355</v>
      </c>
      <c r="I646" s="76">
        <f>I19+I18</f>
        <v>16273860</v>
      </c>
      <c r="J646" s="297"/>
      <c r="N646" s="94"/>
    </row>
    <row r="647" spans="3:10" ht="18.75">
      <c r="C647" s="231"/>
      <c r="D647" s="325">
        <v>6640</v>
      </c>
      <c r="E647" s="75" t="s">
        <v>83</v>
      </c>
      <c r="F647" s="78">
        <v>170603</v>
      </c>
      <c r="G647" s="76">
        <f>G346</f>
        <v>68800000</v>
      </c>
      <c r="H647" s="294">
        <f>H346</f>
        <v>0</v>
      </c>
      <c r="I647" s="76">
        <f>I346</f>
        <v>68800000</v>
      </c>
      <c r="J647" s="152"/>
    </row>
    <row r="648" spans="3:10" ht="31.5">
      <c r="C648" s="231"/>
      <c r="D648" s="325">
        <v>6700</v>
      </c>
      <c r="E648" s="75" t="s">
        <v>1046</v>
      </c>
      <c r="F648" s="78">
        <v>171000</v>
      </c>
      <c r="G648" s="76">
        <f>G348+G349+G350</f>
        <v>598500</v>
      </c>
      <c r="H648" s="294">
        <f>H348+H349+H350</f>
        <v>30124791</v>
      </c>
      <c r="I648" s="76">
        <f>I348+I349+I350</f>
        <v>30723291</v>
      </c>
      <c r="J648" s="152"/>
    </row>
    <row r="649" spans="3:10" ht="18.75">
      <c r="C649" s="231"/>
      <c r="D649" s="325">
        <v>7450</v>
      </c>
      <c r="E649" s="274" t="s">
        <v>1047</v>
      </c>
      <c r="F649" s="78">
        <v>180404</v>
      </c>
      <c r="G649" s="76">
        <f>G221</f>
        <v>680000</v>
      </c>
      <c r="H649" s="294">
        <f>H221</f>
        <v>0</v>
      </c>
      <c r="I649" s="76">
        <f>I221</f>
        <v>680000</v>
      </c>
      <c r="J649" s="152"/>
    </row>
    <row r="650" spans="3:10" ht="25.5">
      <c r="C650" s="231"/>
      <c r="D650" s="325">
        <v>7501</v>
      </c>
      <c r="E650" s="275" t="s">
        <v>1048</v>
      </c>
      <c r="F650" s="78">
        <v>180410</v>
      </c>
      <c r="G650" s="76">
        <f>G206</f>
        <v>692914</v>
      </c>
      <c r="H650" s="294">
        <f>H206</f>
        <v>0</v>
      </c>
      <c r="I650" s="76">
        <f>I206</f>
        <v>692914</v>
      </c>
      <c r="J650" s="152"/>
    </row>
    <row r="651" spans="3:10" ht="25.5">
      <c r="C651" s="390"/>
      <c r="D651" s="325">
        <v>7502</v>
      </c>
      <c r="E651" s="275" t="s">
        <v>1190</v>
      </c>
      <c r="F651" s="78">
        <v>180410</v>
      </c>
      <c r="G651" s="76">
        <f>G380</f>
        <v>0</v>
      </c>
      <c r="H651" s="76">
        <f>H380</f>
        <v>0</v>
      </c>
      <c r="I651" s="76">
        <f>I380</f>
        <v>0</v>
      </c>
      <c r="J651" s="152"/>
    </row>
    <row r="652" spans="3:11" ht="31.5">
      <c r="C652" s="231"/>
      <c r="D652" s="325">
        <v>7810</v>
      </c>
      <c r="E652" s="75" t="s">
        <v>1027</v>
      </c>
      <c r="F652" s="78">
        <v>210105</v>
      </c>
      <c r="G652" s="76">
        <f aca="true" t="shared" si="15" ref="G652:I653">G368</f>
        <v>4662123</v>
      </c>
      <c r="H652" s="294">
        <f t="shared" si="15"/>
        <v>93043</v>
      </c>
      <c r="I652" s="76">
        <f t="shared" si="15"/>
        <v>4755166</v>
      </c>
      <c r="J652" s="157">
        <f>H652-J368</f>
        <v>0</v>
      </c>
      <c r="K652" s="173"/>
    </row>
    <row r="653" spans="3:11" ht="18.75">
      <c r="C653" s="231"/>
      <c r="D653" s="325">
        <v>7840</v>
      </c>
      <c r="E653" s="75" t="s">
        <v>1028</v>
      </c>
      <c r="F653" s="78">
        <v>210110</v>
      </c>
      <c r="G653" s="76">
        <f t="shared" si="15"/>
        <v>4988633</v>
      </c>
      <c r="H653" s="294">
        <f t="shared" si="15"/>
        <v>121145</v>
      </c>
      <c r="I653" s="76">
        <f t="shared" si="15"/>
        <v>5109778</v>
      </c>
      <c r="J653" s="157">
        <f>H653-J369</f>
        <v>0</v>
      </c>
      <c r="K653" s="173"/>
    </row>
    <row r="654" spans="3:10" ht="63">
      <c r="C654" s="231"/>
      <c r="D654" s="325">
        <v>8108</v>
      </c>
      <c r="E654" s="75" t="s">
        <v>303</v>
      </c>
      <c r="F654" s="78">
        <v>250913</v>
      </c>
      <c r="G654" s="76">
        <f>G109</f>
        <v>150000</v>
      </c>
      <c r="H654" s="294">
        <f>H109</f>
        <v>0</v>
      </c>
      <c r="I654" s="76">
        <f>I109</f>
        <v>150000</v>
      </c>
      <c r="J654" s="152"/>
    </row>
    <row r="655" spans="3:10" ht="18.75">
      <c r="C655" s="231"/>
      <c r="D655" s="325">
        <v>6021</v>
      </c>
      <c r="E655" s="75" t="s">
        <v>791</v>
      </c>
      <c r="F655" s="78">
        <v>100102</v>
      </c>
      <c r="G655" s="76">
        <f>G239+G240+G241</f>
        <v>0</v>
      </c>
      <c r="H655" s="294">
        <f>H239+H240+H241</f>
        <v>398757105</v>
      </c>
      <c r="I655" s="76">
        <f>I239+I240+I241</f>
        <v>398757105</v>
      </c>
      <c r="J655" s="152"/>
    </row>
    <row r="656" spans="1:14" s="77" customFormat="1" ht="18.75">
      <c r="A656" s="326"/>
      <c r="B656" s="326"/>
      <c r="C656" s="325"/>
      <c r="D656" s="325">
        <v>6310</v>
      </c>
      <c r="E656" s="75" t="s">
        <v>1049</v>
      </c>
      <c r="F656" s="78">
        <v>150101</v>
      </c>
      <c r="G656" s="76">
        <f>G21+G74+G105+G137+G169+G204+G218+G248+G279+G280+G330+G341+G342+G343+G344+G375+G413+G435+G457+G458+G480+G503+G504+G525+G546+G138+G249</f>
        <v>0</v>
      </c>
      <c r="H656" s="294">
        <f>H21+H74+H105+H137+H169+H204+H218+H248+H279+H280+H330+H341+H342+H343+H344+H375+H413+H435+H457+H458+H480+H503+H504+H525+H546+H138+H249+H219+H436</f>
        <v>499689001</v>
      </c>
      <c r="I656" s="294">
        <f>I21+I74+I105+I137+I169+I204+I218+I248+I279+I280+I330+I341+I342+I343+I344+I375+I413+I435+I457+I458+I480+I503+I504+I525+I546+I138+I249+I219+I436</f>
        <v>499689001</v>
      </c>
      <c r="J656" s="157"/>
      <c r="N656" s="79"/>
    </row>
    <row r="657" spans="1:14" s="77" customFormat="1" ht="47.25">
      <c r="A657" s="326"/>
      <c r="B657" s="326"/>
      <c r="C657" s="325"/>
      <c r="D657" s="325">
        <v>6330</v>
      </c>
      <c r="E657" s="75" t="s">
        <v>620</v>
      </c>
      <c r="F657" s="78">
        <v>150110</v>
      </c>
      <c r="G657" s="76">
        <f>G75</f>
        <v>0</v>
      </c>
      <c r="H657" s="294">
        <f>H75</f>
        <v>75608448</v>
      </c>
      <c r="I657" s="76">
        <f>I75</f>
        <v>75608448</v>
      </c>
      <c r="J657" s="157"/>
      <c r="N657" s="79"/>
    </row>
    <row r="658" spans="1:14" s="77" customFormat="1" ht="47.25">
      <c r="A658" s="326"/>
      <c r="B658" s="326"/>
      <c r="C658" s="325"/>
      <c r="D658" s="325">
        <v>6350</v>
      </c>
      <c r="E658" s="75" t="s">
        <v>477</v>
      </c>
      <c r="F658" s="78">
        <v>150112</v>
      </c>
      <c r="G658" s="76">
        <f>G77</f>
        <v>0</v>
      </c>
      <c r="H658" s="294">
        <f>H77</f>
        <v>2347465</v>
      </c>
      <c r="I658" s="76">
        <f>I77</f>
        <v>2347465</v>
      </c>
      <c r="J658" s="156"/>
      <c r="N658" s="79"/>
    </row>
    <row r="659" spans="1:14" s="77" customFormat="1" ht="18.75">
      <c r="A659" s="326"/>
      <c r="B659" s="326"/>
      <c r="C659" s="325"/>
      <c r="D659" s="325">
        <v>6324</v>
      </c>
      <c r="E659" s="75" t="s">
        <v>1050</v>
      </c>
      <c r="F659" s="78">
        <v>150118</v>
      </c>
      <c r="G659" s="76">
        <f>G251</f>
        <v>0</v>
      </c>
      <c r="H659" s="294">
        <f>H251</f>
        <v>687275</v>
      </c>
      <c r="I659" s="76">
        <f>I251</f>
        <v>687275</v>
      </c>
      <c r="J659" s="156"/>
      <c r="N659" s="79"/>
    </row>
    <row r="660" spans="1:14" s="77" customFormat="1" ht="63">
      <c r="A660" s="326"/>
      <c r="B660" s="326"/>
      <c r="C660" s="325"/>
      <c r="D660" s="325">
        <v>6400</v>
      </c>
      <c r="E660" s="75" t="s">
        <v>1051</v>
      </c>
      <c r="F660" s="78">
        <v>150121</v>
      </c>
      <c r="G660" s="76">
        <f>G252+G376</f>
        <v>0</v>
      </c>
      <c r="H660" s="294">
        <f>H252+H376</f>
        <v>0</v>
      </c>
      <c r="I660" s="76">
        <f>I252+I376</f>
        <v>0</v>
      </c>
      <c r="J660" s="156"/>
      <c r="N660" s="79"/>
    </row>
    <row r="661" spans="1:14" s="77" customFormat="1" ht="31.5">
      <c r="A661" s="326"/>
      <c r="B661" s="326"/>
      <c r="C661" s="325"/>
      <c r="D661" s="325">
        <v>6430</v>
      </c>
      <c r="E661" s="75" t="s">
        <v>1052</v>
      </c>
      <c r="F661" s="78">
        <v>150202</v>
      </c>
      <c r="G661" s="76">
        <f>G302</f>
        <v>0</v>
      </c>
      <c r="H661" s="294">
        <f>H302</f>
        <v>3374990</v>
      </c>
      <c r="I661" s="76">
        <f>I302</f>
        <v>3374990</v>
      </c>
      <c r="J661" s="156"/>
      <c r="N661" s="79"/>
    </row>
    <row r="662" spans="1:14" s="77" customFormat="1" ht="18.75">
      <c r="A662" s="326"/>
      <c r="B662" s="326"/>
      <c r="C662" s="325"/>
      <c r="D662" s="325">
        <v>7470</v>
      </c>
      <c r="E662" s="75" t="s">
        <v>1053</v>
      </c>
      <c r="F662" s="78">
        <v>180409</v>
      </c>
      <c r="G662" s="76">
        <f>G24+G254+G255+G284+G353+G354+G355+G356+G378</f>
        <v>0</v>
      </c>
      <c r="H662" s="294">
        <f>H24+H254+H255+H284+H353+H354+H355+H356+H378+H318</f>
        <v>79689066</v>
      </c>
      <c r="I662" s="294">
        <f>I24+I254+I255+I284+I353+I354+I355+I356+I378+I318</f>
        <v>79689066</v>
      </c>
      <c r="J662" s="156"/>
      <c r="N662" s="79"/>
    </row>
    <row r="663" spans="1:14" s="77" customFormat="1" ht="31.5">
      <c r="A663" s="326"/>
      <c r="B663" s="326"/>
      <c r="C663" s="325"/>
      <c r="D663" s="325">
        <v>6022</v>
      </c>
      <c r="E663" s="75" t="s">
        <v>261</v>
      </c>
      <c r="F663" s="78">
        <v>100106</v>
      </c>
      <c r="G663" s="76">
        <f>G242+G243</f>
        <v>0</v>
      </c>
      <c r="H663" s="294">
        <f>H242+H243</f>
        <v>99248388</v>
      </c>
      <c r="I663" s="76">
        <f>I242+I243</f>
        <v>99248388</v>
      </c>
      <c r="J663" s="156"/>
      <c r="K663" s="172"/>
      <c r="N663" s="79"/>
    </row>
    <row r="664" spans="1:14" s="77" customFormat="1" ht="18.75">
      <c r="A664" s="326"/>
      <c r="B664" s="326"/>
      <c r="C664" s="325"/>
      <c r="D664" s="325">
        <v>7700</v>
      </c>
      <c r="E664" s="75" t="s">
        <v>1054</v>
      </c>
      <c r="F664" s="78">
        <v>200700</v>
      </c>
      <c r="G664" s="92"/>
      <c r="H664" s="295"/>
      <c r="I664" s="92"/>
      <c r="J664" s="156"/>
      <c r="N664" s="79"/>
    </row>
    <row r="665" spans="1:14" s="77" customFormat="1" ht="31.5">
      <c r="A665" s="326"/>
      <c r="B665" s="326"/>
      <c r="C665" s="325"/>
      <c r="D665" s="325">
        <v>9180</v>
      </c>
      <c r="E665" s="75" t="s">
        <v>105</v>
      </c>
      <c r="F665" s="78">
        <v>240900</v>
      </c>
      <c r="G665" s="76">
        <f>G38+G81+G388+G423+G446+G469+G492+G514+G535+G556</f>
        <v>0</v>
      </c>
      <c r="H665" s="294">
        <f>H37+H80+H513+H534+H208</f>
        <v>6682302</v>
      </c>
      <c r="I665" s="294">
        <f>I37+I80+I513+I534+I208</f>
        <v>6682302</v>
      </c>
      <c r="J665" s="156"/>
      <c r="N665" s="79"/>
    </row>
    <row r="666" spans="1:14" s="77" customFormat="1" ht="16.5" customHeight="1">
      <c r="A666" s="326"/>
      <c r="B666" s="326"/>
      <c r="C666" s="325"/>
      <c r="D666" s="325">
        <v>100</v>
      </c>
      <c r="E666" s="75" t="s">
        <v>1025</v>
      </c>
      <c r="F666" s="78" t="s">
        <v>479</v>
      </c>
      <c r="G666" s="76">
        <f>G14+G42+G85+G113+G142+G173+G182+G186+G215+G229+G233+G267+G294+G301+G310+G314+G322+G328+G339+G366+G373+G392+G405+G427+G450+G473+G496+G518+G539+G216+G393+G15+G234+G268+G406+G428+G451+G474+G497+G519+G540+G211</f>
        <v>9067635</v>
      </c>
      <c r="H666" s="76">
        <f>H14+H42+H85+H113+H142+H173+H182+H186+H215+H229+H233+H267+H294+H301+H310+H314+H322+H328+H339+H366+H373+H392+H405+H427+H450+H473+H496+H518+H539+H216+H393+H15+H234+H268+H406+H428+H451+H474+H497+H519+H540+H211</f>
        <v>35200926</v>
      </c>
      <c r="I666" s="76">
        <f>I14+I42+I85+I113+I142+I173+I182+I186+I215+I229+I233+I267+I294+I301+I310+I314+I322+I328+I339+I366+I373+I392+I405+I427+I450+I473+I496+I518+I539+I216+I393+I15+I234+I268+I406+I428+I451+I474+I497+I519+I540+I211</f>
        <v>44268561</v>
      </c>
      <c r="J666" s="157"/>
      <c r="K666" s="172">
        <f>H666-35200926</f>
        <v>0</v>
      </c>
      <c r="N666" s="79"/>
    </row>
    <row r="667" spans="1:14" s="77" customFormat="1" ht="16.5" customHeight="1">
      <c r="A667" s="326"/>
      <c r="B667" s="326"/>
      <c r="C667" s="325"/>
      <c r="D667" s="325">
        <v>8370</v>
      </c>
      <c r="E667" s="75" t="s">
        <v>1055</v>
      </c>
      <c r="F667" s="78">
        <v>250344</v>
      </c>
      <c r="G667" s="76">
        <f>G400</f>
        <v>2439890</v>
      </c>
      <c r="H667" s="294">
        <f>H400</f>
        <v>5745400</v>
      </c>
      <c r="I667" s="76">
        <f>I400</f>
        <v>8185290</v>
      </c>
      <c r="J667" s="156"/>
      <c r="N667" s="79"/>
    </row>
    <row r="668" spans="1:14" s="77" customFormat="1" ht="16.5" customHeight="1">
      <c r="A668" s="326"/>
      <c r="B668" s="326"/>
      <c r="C668" s="325"/>
      <c r="D668" s="325">
        <v>8600</v>
      </c>
      <c r="E668" s="75" t="s">
        <v>92</v>
      </c>
      <c r="F668" s="78">
        <v>250404</v>
      </c>
      <c r="G668" s="183">
        <f>G27+G28+G29+G30+G31+G32+G34+G224+G225+G258+G259+G260+G287+G288+G297+G305+G306+G359+G333+G360+G383+G396+G416+G417+G418+G419+G420+G439+G440+G441+G442+G443+G461+G462+G463+G464+G465+G485+G486+G487+G488+G489+G507+G508+G509+G510+G511+G528+G529+G530+G531+G532+G549+G551+G550+G552+G553+G384+G261+G33+G35</f>
        <v>425155883</v>
      </c>
      <c r="H668" s="183">
        <f>H27+H28+H29+H30+H31+H32+H34+H224+H225+H258+H259+H260+H287+H288+H297+H305+H306+H359+H333+H360+H383+H396+H416+H417+H418+H419+H420+H439+H440+H441+H442+H443+H461+H462+H463+H464+H465+H485+H486+H487+H488+H489+H507+H508+H509+H510+H511+H528+H529+H530+H531+H532+H549+H551+H550+H552+H553+H384+H261+H33+H35</f>
        <v>20975688</v>
      </c>
      <c r="I668" s="183">
        <f>I27+I28+I29+I30+I31+I32+I34+I224+I225+I258+I259+I260+I287+I288+I297+I305+I306+I359+I333+I360+I383+I396+I416+I417+I418+I419+I420+I439+I440+I441+I442+I443+I461+I462+I463+I464+I465+I485+I486+I487+I488+I489+I507+I508+I509+I510+I511+I528+I529+I530+I531+I532+I549+I551+I550+I552+I553+I384+I261+I33+I35</f>
        <v>446131571</v>
      </c>
      <c r="J668" s="156"/>
      <c r="N668" s="79"/>
    </row>
    <row r="669" spans="1:14" s="77" customFormat="1" ht="16.5" customHeight="1">
      <c r="A669" s="326"/>
      <c r="B669" s="326"/>
      <c r="C669" s="325"/>
      <c r="D669" s="325">
        <v>1000</v>
      </c>
      <c r="E669" s="75" t="s">
        <v>591</v>
      </c>
      <c r="F669" s="78">
        <v>70000</v>
      </c>
      <c r="G669" s="294">
        <f>G44+G45+G47+G48+G49+G51+G52+G55+G56+G57+G58+G59+G60+G61+G62+G63+G65+G66+G67+G68+G69+G175+G64+G53+G46+G50+G54</f>
        <v>168507984</v>
      </c>
      <c r="H669" s="294">
        <f>H44+H45+H47+H48+H49+H51+H52+H55+H56+H57+H58+H59+H60+H61+H62+H63+H65+H66+H67+H68+H69+H175+H64+H53+H46+H50+H54</f>
        <v>56274089</v>
      </c>
      <c r="I669" s="294">
        <f>I44+I45+I47+I48+I49+I51+I52+I55+I56+I57+I58+I59+I60+I61+I62+I63+I65+I66+I67+I68+I69+I175+I64+I53+I46+I50+I54</f>
        <v>224782073</v>
      </c>
      <c r="J669" s="157">
        <f>J39</f>
        <v>161193</v>
      </c>
      <c r="K669" s="172">
        <f>H669-J669</f>
        <v>56112896</v>
      </c>
      <c r="L669" s="172"/>
      <c r="N669" s="186">
        <f>K669-38204764</f>
        <v>17908132</v>
      </c>
    </row>
    <row r="670" spans="1:14" s="77" customFormat="1" ht="16.5" customHeight="1">
      <c r="A670" s="326"/>
      <c r="B670" s="326"/>
      <c r="C670" s="325"/>
      <c r="D670" s="325">
        <v>2000</v>
      </c>
      <c r="E670" s="75" t="s">
        <v>661</v>
      </c>
      <c r="F670" s="78">
        <v>80000</v>
      </c>
      <c r="G670" s="76">
        <f>G115+G116+G118+G119+G121+G122+G123+G124+G125+G126+G127+G129+G130+G132+G134+G135+G133</f>
        <v>123748968</v>
      </c>
      <c r="H670" s="76">
        <f>H115+H116+H118+H119+H121+H122+H123+H124+H125+H126+H127+H129+H130+H132+H134+H135+H133+H117+H128</f>
        <v>112563053</v>
      </c>
      <c r="I670" s="76">
        <f>I115+I116+I118+I119+I121+I122+I123+I124+I125+I126+I127+I129+I130+I132+I134+I135+I133+I117+I128</f>
        <v>236312021</v>
      </c>
      <c r="J670" s="157">
        <f>H670-J114</f>
        <v>111438247</v>
      </c>
      <c r="K670" s="172"/>
      <c r="N670" s="186">
        <f>K670-77967004</f>
        <v>-77967004</v>
      </c>
    </row>
    <row r="671" spans="1:14" s="77" customFormat="1" ht="16.5" customHeight="1">
      <c r="A671" s="326"/>
      <c r="B671" s="326"/>
      <c r="C671" s="325"/>
      <c r="D671" s="325">
        <v>5000</v>
      </c>
      <c r="E671" s="75" t="s">
        <v>639</v>
      </c>
      <c r="F671" s="78">
        <v>130000</v>
      </c>
      <c r="G671" s="76">
        <f>G93+G94+G96+G97+G99+G101+G103+G100</f>
        <v>21740639</v>
      </c>
      <c r="H671" s="76">
        <f>H93+H94+H96+H97+H99+H101+H103+H100</f>
        <v>12387514</v>
      </c>
      <c r="I671" s="76">
        <f>I93+I94+I96+I97+I99+I101+I103+I100</f>
        <v>34128153</v>
      </c>
      <c r="J671" s="152">
        <f>H671-J82</f>
        <v>12293414</v>
      </c>
      <c r="K671" s="172"/>
      <c r="N671" s="79"/>
    </row>
    <row r="672" spans="1:14" s="77" customFormat="1" ht="30" customHeight="1">
      <c r="A672" s="326"/>
      <c r="B672" s="326"/>
      <c r="C672" s="325"/>
      <c r="D672" s="325">
        <v>3104</v>
      </c>
      <c r="E672" s="75" t="s">
        <v>1037</v>
      </c>
      <c r="F672" s="78">
        <v>91204</v>
      </c>
      <c r="G672" s="76">
        <f>G153+G154</f>
        <v>33368272</v>
      </c>
      <c r="H672" s="294">
        <f>H153+H154</f>
        <v>1527960</v>
      </c>
      <c r="I672" s="76">
        <f>I153+I154</f>
        <v>34896232</v>
      </c>
      <c r="J672" s="156"/>
      <c r="K672" s="172"/>
      <c r="N672" s="79"/>
    </row>
    <row r="673" spans="1:14" s="77" customFormat="1" ht="16.5" customHeight="1">
      <c r="A673" s="326"/>
      <c r="B673" s="326"/>
      <c r="C673" s="325"/>
      <c r="D673" s="325">
        <v>8103</v>
      </c>
      <c r="E673" s="75"/>
      <c r="F673" s="78">
        <v>250908</v>
      </c>
      <c r="G673" s="76">
        <f>G108</f>
        <v>8135772</v>
      </c>
      <c r="H673" s="294">
        <f>H108</f>
        <v>340089</v>
      </c>
      <c r="I673" s="76">
        <f>I108</f>
        <v>8475861</v>
      </c>
      <c r="J673" s="156"/>
      <c r="M673" s="172"/>
      <c r="N673" s="79">
        <v>111349747</v>
      </c>
    </row>
    <row r="674" spans="1:14" s="77" customFormat="1" ht="16.5" customHeight="1">
      <c r="A674" s="326"/>
      <c r="B674" s="326"/>
      <c r="C674" s="325"/>
      <c r="D674" s="325">
        <v>4000</v>
      </c>
      <c r="E674" s="75" t="s">
        <v>746</v>
      </c>
      <c r="F674" s="78">
        <v>110000</v>
      </c>
      <c r="G674" s="294">
        <f>G188+G189+G190+G191+G192+G193+G195+G196+G197+G194</f>
        <v>6648795</v>
      </c>
      <c r="H674" s="294">
        <f>H188+H189+H190+H191+H192+H193+H195+H196+H197+H194</f>
        <v>11440966</v>
      </c>
      <c r="I674" s="294">
        <f>I188+I189+I190+I191+I192+I193+I195+I196+I197+I194</f>
        <v>18089761</v>
      </c>
      <c r="J674" s="157">
        <f>H674-J187</f>
        <v>11314696</v>
      </c>
      <c r="K674" s="172"/>
      <c r="N674" s="186">
        <f>J670-N673</f>
        <v>88500</v>
      </c>
    </row>
    <row r="675" spans="1:14" s="77" customFormat="1" ht="31.5">
      <c r="A675" s="326"/>
      <c r="B675" s="326"/>
      <c r="C675" s="325"/>
      <c r="D675" s="325">
        <v>9110</v>
      </c>
      <c r="E675" s="75" t="s">
        <v>106</v>
      </c>
      <c r="F675" s="78">
        <v>240601</v>
      </c>
      <c r="G675" s="76">
        <f>G79+G263+G290+G335+G467</f>
        <v>0</v>
      </c>
      <c r="H675" s="294">
        <f>H79+H263+H290+H335+H467+H386+H362+H555</f>
        <v>43564578</v>
      </c>
      <c r="I675" s="294">
        <f>I79+I263+I290+I335+I467+I386+I362+I555</f>
        <v>43564578</v>
      </c>
      <c r="J675" s="156"/>
      <c r="N675" s="79"/>
    </row>
    <row r="676" spans="1:14" s="77" customFormat="1" ht="47.25">
      <c r="A676" s="326"/>
      <c r="B676" s="326"/>
      <c r="C676" s="325"/>
      <c r="D676" s="325">
        <v>6100</v>
      </c>
      <c r="E676" s="75" t="s">
        <v>1056</v>
      </c>
      <c r="F676" s="78">
        <v>100208</v>
      </c>
      <c r="G676" s="76">
        <f>G246</f>
        <v>0</v>
      </c>
      <c r="H676" s="294">
        <f>H246</f>
        <v>4718800</v>
      </c>
      <c r="I676" s="76">
        <f>I246</f>
        <v>4718800</v>
      </c>
      <c r="J676" s="156"/>
      <c r="K676" s="172"/>
      <c r="M676" s="172"/>
      <c r="N676" s="79"/>
    </row>
    <row r="677" spans="1:14" s="77" customFormat="1" ht="16.5" customHeight="1">
      <c r="A677" s="326"/>
      <c r="B677" s="326"/>
      <c r="C677" s="325"/>
      <c r="D677" s="325">
        <v>8800</v>
      </c>
      <c r="E677" s="75" t="s">
        <v>289</v>
      </c>
      <c r="F677" s="78">
        <v>250380</v>
      </c>
      <c r="G677" s="76">
        <f>G401</f>
        <v>0</v>
      </c>
      <c r="H677" s="294">
        <f>H401</f>
        <v>0</v>
      </c>
      <c r="I677" s="76">
        <f>I401</f>
        <v>0</v>
      </c>
      <c r="J677" s="156"/>
      <c r="N677" s="79"/>
    </row>
    <row r="678" spans="1:14" s="77" customFormat="1" ht="16.5" customHeight="1">
      <c r="A678" s="326"/>
      <c r="B678" s="326"/>
      <c r="C678" s="325"/>
      <c r="D678" s="325">
        <v>6800</v>
      </c>
      <c r="E678" s="75" t="s">
        <v>1295</v>
      </c>
      <c r="F678" s="78"/>
      <c r="G678" s="76">
        <f>G351</f>
        <v>3223822</v>
      </c>
      <c r="H678" s="76">
        <f>H351</f>
        <v>42942378</v>
      </c>
      <c r="I678" s="76">
        <f>I351</f>
        <v>46166200</v>
      </c>
      <c r="J678" s="156"/>
      <c r="N678" s="79"/>
    </row>
    <row r="679" spans="1:14" s="77" customFormat="1" ht="16.5" customHeight="1">
      <c r="A679" s="326"/>
      <c r="B679" s="326"/>
      <c r="C679" s="325"/>
      <c r="D679" s="325">
        <v>6130</v>
      </c>
      <c r="E679" s="75"/>
      <c r="F679" s="78"/>
      <c r="G679" s="76">
        <f>G316</f>
        <v>600369</v>
      </c>
      <c r="H679" s="76">
        <f>H316</f>
        <v>0</v>
      </c>
      <c r="I679" s="76">
        <f>I316</f>
        <v>600369</v>
      </c>
      <c r="J679" s="156"/>
      <c r="N679" s="79"/>
    </row>
    <row r="680" spans="1:14" s="77" customFormat="1" ht="23.25" customHeight="1">
      <c r="A680" s="326"/>
      <c r="B680" s="326"/>
      <c r="C680" s="325"/>
      <c r="D680" s="325"/>
      <c r="E680" s="319"/>
      <c r="F680" s="93" t="s">
        <v>434</v>
      </c>
      <c r="G680" s="264">
        <f>SUM(G631:G679)</f>
        <v>1564333014</v>
      </c>
      <c r="H680" s="264">
        <f>SUM(H631:H679)</f>
        <v>1752834199</v>
      </c>
      <c r="I680" s="264">
        <f>SUM(I631:I679)</f>
        <v>3317167213</v>
      </c>
      <c r="J680" s="157"/>
      <c r="N680" s="79"/>
    </row>
    <row r="681" spans="1:14" s="77" customFormat="1" ht="20.25" customHeight="1">
      <c r="A681" s="326"/>
      <c r="B681" s="326"/>
      <c r="C681" s="326"/>
      <c r="D681" s="326"/>
      <c r="E681" s="320"/>
      <c r="F681" s="78" t="s">
        <v>1189</v>
      </c>
      <c r="G681" s="266">
        <f>G557-G680</f>
        <v>0</v>
      </c>
      <c r="H681" s="296">
        <f>H557-H680</f>
        <v>0</v>
      </c>
      <c r="I681" s="266">
        <f>I557-I680</f>
        <v>0</v>
      </c>
      <c r="J681" s="156"/>
      <c r="N681" s="79"/>
    </row>
    <row r="683" ht="15.75">
      <c r="G683" s="94">
        <f>(401179.952+23975.931)*1000</f>
        <v>425155883</v>
      </c>
    </row>
    <row r="684" ht="15.75">
      <c r="G684" s="175">
        <f>G668-G683</f>
        <v>0</v>
      </c>
    </row>
    <row r="685" ht="15.75">
      <c r="G685" s="175"/>
    </row>
    <row r="686" ht="15.75">
      <c r="G686" s="175"/>
    </row>
  </sheetData>
  <sheetProtection/>
  <autoFilter ref="A10:P557"/>
  <mergeCells count="30">
    <mergeCell ref="C44:C47"/>
    <mergeCell ref="C48:C53"/>
    <mergeCell ref="D122:D123"/>
    <mergeCell ref="C68:C69"/>
    <mergeCell ref="A6:I6"/>
    <mergeCell ref="E55:E56"/>
    <mergeCell ref="E68:E69"/>
    <mergeCell ref="E122:E123"/>
    <mergeCell ref="C34:C35"/>
    <mergeCell ref="B68:B69"/>
    <mergeCell ref="E254:E255"/>
    <mergeCell ref="D254:D255"/>
    <mergeCell ref="D279:D280"/>
    <mergeCell ref="E248:E249"/>
    <mergeCell ref="A50:A51"/>
    <mergeCell ref="B55:B56"/>
    <mergeCell ref="D55:D56"/>
    <mergeCell ref="C55:C56"/>
    <mergeCell ref="C63:C64"/>
    <mergeCell ref="D57:D58"/>
    <mergeCell ref="C636:C639"/>
    <mergeCell ref="D248:D249"/>
    <mergeCell ref="D457:D458"/>
    <mergeCell ref="D550:D551"/>
    <mergeCell ref="C392:C393"/>
    <mergeCell ref="D68:D69"/>
    <mergeCell ref="D503:D504"/>
    <mergeCell ref="D508:D509"/>
    <mergeCell ref="D529:D530"/>
    <mergeCell ref="C137:C138"/>
  </mergeCells>
  <printOptions/>
  <pageMargins left="1.1811023622047245" right="0.3937007874015748" top="1.1811023622047245" bottom="0.7874015748031497" header="0.1968503937007874" footer="0.1968503937007874"/>
  <pageSetup fitToHeight="26" horizontalDpi="600" verticalDpi="600" orientation="landscape" paperSize="9" scale="59" r:id="rId1"/>
  <headerFooter differentFirst="1" alignWithMargins="0">
    <oddHeader>&amp;C&amp;P</oddHeader>
  </headerFooter>
  <rowBreaks count="1" manualBreakCount="1">
    <brk id="536" max="8" man="1"/>
  </rowBreaks>
</worksheet>
</file>

<file path=xl/worksheets/sheet2.xml><?xml version="1.0" encoding="utf-8"?>
<worksheet xmlns="http://schemas.openxmlformats.org/spreadsheetml/2006/main" xmlns:r="http://schemas.openxmlformats.org/officeDocument/2006/relationships">
  <dimension ref="A1:K380"/>
  <sheetViews>
    <sheetView view="pageBreakPreview" zoomScale="75" zoomScaleSheetLayoutView="75" zoomScalePageLayoutView="0" workbookViewId="0" topLeftCell="A1">
      <pane xSplit="3" ySplit="9" topLeftCell="D75" activePane="bottomRight" state="frozen"/>
      <selection pane="topLeft" activeCell="A1" sqref="A1"/>
      <selection pane="topRight" activeCell="D1" sqref="D1"/>
      <selection pane="bottomLeft" activeCell="A10" sqref="A10"/>
      <selection pane="bottomRight" activeCell="H73" sqref="H73"/>
    </sheetView>
  </sheetViews>
  <sheetFormatPr defaultColWidth="9.140625" defaultRowHeight="12.75"/>
  <cols>
    <col min="1" max="1" width="9.421875" style="1" customWidth="1"/>
    <col min="2" max="2" width="35.8515625" style="1" customWidth="1"/>
    <col min="3" max="3" width="62.8515625" style="1" hidden="1" customWidth="1"/>
    <col min="4" max="4" width="12.57421875" style="1" hidden="1" customWidth="1"/>
    <col min="5" max="5" width="62.57421875" style="1" customWidth="1"/>
    <col min="6" max="6" width="13.421875" style="1" hidden="1" customWidth="1"/>
    <col min="7" max="7" width="15.421875" style="1" hidden="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2.5" customHeight="1">
      <c r="E1" s="14" t="s">
        <v>197</v>
      </c>
      <c r="G1" s="13"/>
    </row>
    <row r="2" spans="5:7" ht="28.5" customHeight="1">
      <c r="E2" s="14" t="s">
        <v>198</v>
      </c>
      <c r="G2" s="13"/>
    </row>
    <row r="3" spans="3:7" ht="39.75" customHeight="1">
      <c r="C3" s="8"/>
      <c r="E3" s="14" t="s">
        <v>307</v>
      </c>
      <c r="G3" s="13"/>
    </row>
    <row r="5" spans="1:10" s="6" customFormat="1" ht="28.5" customHeight="1">
      <c r="A5" s="455" t="s">
        <v>335</v>
      </c>
      <c r="B5" s="455"/>
      <c r="C5" s="455"/>
      <c r="D5" s="455"/>
      <c r="E5" s="455"/>
      <c r="F5" s="455"/>
      <c r="G5" s="455"/>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53" t="s">
        <v>36</v>
      </c>
      <c r="C8" s="453" t="s">
        <v>60</v>
      </c>
      <c r="D8" s="453"/>
      <c r="E8" s="453" t="s">
        <v>63</v>
      </c>
      <c r="F8" s="453"/>
      <c r="G8" s="4" t="s">
        <v>64</v>
      </c>
      <c r="H8" s="456" t="s">
        <v>12</v>
      </c>
    </row>
    <row r="9" spans="1:8" s="2" customFormat="1" ht="57.75" customHeight="1">
      <c r="A9" s="64" t="s">
        <v>35</v>
      </c>
      <c r="B9" s="453"/>
      <c r="C9" s="4" t="s">
        <v>61</v>
      </c>
      <c r="D9" s="4" t="s">
        <v>62</v>
      </c>
      <c r="E9" s="4" t="s">
        <v>61</v>
      </c>
      <c r="F9" s="4" t="s">
        <v>62</v>
      </c>
      <c r="G9" s="4" t="s">
        <v>62</v>
      </c>
      <c r="H9" s="457"/>
    </row>
    <row r="10" spans="1:8" s="2" customFormat="1" ht="16.5" customHeight="1">
      <c r="A10" s="4">
        <v>1</v>
      </c>
      <c r="B10" s="4">
        <v>2</v>
      </c>
      <c r="C10" s="4">
        <v>3</v>
      </c>
      <c r="D10" s="4">
        <v>4</v>
      </c>
      <c r="E10" s="4">
        <v>5</v>
      </c>
      <c r="F10" s="4">
        <v>6</v>
      </c>
      <c r="G10" s="4">
        <v>7</v>
      </c>
      <c r="H10" s="4"/>
    </row>
    <row r="11" spans="1:9" s="2" customFormat="1" ht="31.5" hidden="1">
      <c r="A11" s="22" t="s">
        <v>133</v>
      </c>
      <c r="B11" s="23" t="s">
        <v>38</v>
      </c>
      <c r="C11" s="4"/>
      <c r="D11" s="24">
        <f>D13+D14+D23+D24+D26+D28+D29+D30</f>
        <v>4344270</v>
      </c>
      <c r="E11" s="4"/>
      <c r="F11" s="28">
        <f>F12+F15+F16+F20+F21+F23+F24+F26+F28+F29+F30+F14</f>
        <v>910383</v>
      </c>
      <c r="G11" s="28">
        <f>D11+F11</f>
        <v>5254653</v>
      </c>
      <c r="H11" s="71"/>
      <c r="I11" s="46"/>
    </row>
    <row r="12" spans="1:9" s="20" customFormat="1" ht="31.5" hidden="1">
      <c r="A12" s="454" t="s">
        <v>165</v>
      </c>
      <c r="B12" s="453" t="s">
        <v>166</v>
      </c>
      <c r="C12" s="4"/>
      <c r="D12" s="17"/>
      <c r="E12" s="4" t="s">
        <v>396</v>
      </c>
      <c r="F12" s="19">
        <v>253199</v>
      </c>
      <c r="G12" s="19">
        <f>D12+F12</f>
        <v>253199</v>
      </c>
      <c r="H12" s="4"/>
      <c r="I12" s="46"/>
    </row>
    <row r="13" spans="1:9" s="20" customFormat="1" ht="68.25" customHeight="1" hidden="1">
      <c r="A13" s="454"/>
      <c r="B13" s="453"/>
      <c r="C13" s="4" t="s">
        <v>365</v>
      </c>
      <c r="D13" s="17">
        <v>1315</v>
      </c>
      <c r="E13" s="4"/>
      <c r="F13" s="19"/>
      <c r="G13" s="19">
        <f aca="true" t="shared" si="0" ref="G13:G31">D13+F13</f>
        <v>1315</v>
      </c>
      <c r="H13" s="4"/>
      <c r="I13" s="46"/>
    </row>
    <row r="14" spans="1:9" s="20" customFormat="1" ht="51" customHeight="1" hidden="1">
      <c r="A14" s="454" t="s">
        <v>78</v>
      </c>
      <c r="B14" s="453" t="s">
        <v>104</v>
      </c>
      <c r="C14" s="4" t="s">
        <v>10</v>
      </c>
      <c r="D14" s="17">
        <v>480000</v>
      </c>
      <c r="E14" s="4"/>
      <c r="F14" s="9"/>
      <c r="G14" s="19">
        <f t="shared" si="0"/>
        <v>480000</v>
      </c>
      <c r="H14" s="4"/>
      <c r="I14" s="46"/>
    </row>
    <row r="15" spans="1:9" s="20" customFormat="1" ht="47.25" hidden="1">
      <c r="A15" s="454"/>
      <c r="B15" s="453"/>
      <c r="C15" s="4"/>
      <c r="D15" s="17"/>
      <c r="E15" s="35" t="s">
        <v>7</v>
      </c>
      <c r="F15" s="36">
        <v>41424</v>
      </c>
      <c r="G15" s="59">
        <f t="shared" si="0"/>
        <v>41424</v>
      </c>
      <c r="H15" s="4"/>
      <c r="I15" s="46"/>
    </row>
    <row r="16" spans="1:9" s="20" customFormat="1" ht="52.5" customHeight="1" hidden="1">
      <c r="A16" s="454" t="s">
        <v>84</v>
      </c>
      <c r="B16" s="453" t="s">
        <v>85</v>
      </c>
      <c r="C16" s="453"/>
      <c r="D16" s="17"/>
      <c r="E16" s="4" t="s">
        <v>389</v>
      </c>
      <c r="F16" s="19">
        <v>415760</v>
      </c>
      <c r="G16" s="19">
        <f t="shared" si="0"/>
        <v>415760</v>
      </c>
      <c r="H16" s="4"/>
      <c r="I16" s="46"/>
    </row>
    <row r="17" spans="1:9" s="20" customFormat="1" ht="44.25" customHeight="1" hidden="1">
      <c r="A17" s="454"/>
      <c r="B17" s="453"/>
      <c r="C17" s="453"/>
      <c r="D17" s="5"/>
      <c r="E17" s="4" t="s">
        <v>128</v>
      </c>
      <c r="F17" s="9"/>
      <c r="G17" s="19">
        <f t="shared" si="0"/>
        <v>0</v>
      </c>
      <c r="H17" s="4"/>
      <c r="I17" s="46"/>
    </row>
    <row r="18" spans="1:9" s="20" customFormat="1" ht="47.25" customHeight="1" hidden="1">
      <c r="A18" s="454"/>
      <c r="B18" s="453"/>
      <c r="C18" s="453"/>
      <c r="D18" s="5"/>
      <c r="E18" s="4" t="s">
        <v>127</v>
      </c>
      <c r="F18" s="19">
        <v>0</v>
      </c>
      <c r="G18" s="19">
        <f t="shared" si="0"/>
        <v>0</v>
      </c>
      <c r="H18" s="4"/>
      <c r="I18" s="46"/>
    </row>
    <row r="19" spans="1:9" s="20" customFormat="1" ht="15.75" hidden="1">
      <c r="A19" s="454"/>
      <c r="B19" s="453"/>
      <c r="C19" s="453"/>
      <c r="D19" s="5"/>
      <c r="E19" s="4"/>
      <c r="F19" s="19">
        <v>0</v>
      </c>
      <c r="G19" s="19">
        <f t="shared" si="0"/>
        <v>0</v>
      </c>
      <c r="H19" s="4"/>
      <c r="I19" s="46"/>
    </row>
    <row r="20" spans="1:9" s="20" customFormat="1" ht="222" customHeight="1" hidden="1">
      <c r="A20" s="18" t="s">
        <v>211</v>
      </c>
      <c r="B20" s="40" t="s">
        <v>212</v>
      </c>
      <c r="C20" s="4"/>
      <c r="D20" s="5"/>
      <c r="E20" s="4" t="s">
        <v>254</v>
      </c>
      <c r="F20" s="19"/>
      <c r="G20" s="19">
        <f t="shared" si="0"/>
        <v>0</v>
      </c>
      <c r="H20" s="4"/>
      <c r="I20" s="46"/>
    </row>
    <row r="21" spans="1:9" s="20" customFormat="1" ht="46.5" customHeight="1" hidden="1">
      <c r="A21" s="26">
        <v>240900</v>
      </c>
      <c r="B21" s="4" t="s">
        <v>105</v>
      </c>
      <c r="C21" s="16"/>
      <c r="D21" s="15"/>
      <c r="E21" s="4" t="s">
        <v>355</v>
      </c>
      <c r="F21" s="19">
        <v>200000</v>
      </c>
      <c r="G21" s="19">
        <f t="shared" si="0"/>
        <v>200000</v>
      </c>
      <c r="H21" s="4"/>
      <c r="I21" s="46"/>
    </row>
    <row r="22" spans="1:9" s="20" customFormat="1" ht="75" customHeight="1" hidden="1">
      <c r="A22" s="26">
        <v>250203</v>
      </c>
      <c r="B22" s="4" t="s">
        <v>192</v>
      </c>
      <c r="C22" s="4"/>
      <c r="D22" s="21">
        <v>0</v>
      </c>
      <c r="E22" s="4"/>
      <c r="F22" s="9"/>
      <c r="G22" s="19">
        <f t="shared" si="0"/>
        <v>0</v>
      </c>
      <c r="H22" s="4"/>
      <c r="I22" s="46"/>
    </row>
    <row r="23" spans="1:9" s="20" customFormat="1" ht="78.75" hidden="1">
      <c r="A23" s="452">
        <v>250404</v>
      </c>
      <c r="B23" s="453" t="s">
        <v>92</v>
      </c>
      <c r="C23" s="4" t="s">
        <v>359</v>
      </c>
      <c r="D23" s="21">
        <v>304955</v>
      </c>
      <c r="E23" s="9"/>
      <c r="F23" s="12"/>
      <c r="G23" s="19">
        <f t="shared" si="0"/>
        <v>304955</v>
      </c>
      <c r="H23" s="4"/>
      <c r="I23" s="46"/>
    </row>
    <row r="24" spans="1:9" s="20" customFormat="1" ht="47.25" hidden="1">
      <c r="A24" s="452"/>
      <c r="B24" s="453"/>
      <c r="C24" s="4" t="s">
        <v>358</v>
      </c>
      <c r="D24" s="17">
        <v>209200</v>
      </c>
      <c r="E24" s="4"/>
      <c r="F24" s="19">
        <v>0</v>
      </c>
      <c r="G24" s="19">
        <f t="shared" si="0"/>
        <v>209200</v>
      </c>
      <c r="H24" s="4"/>
      <c r="I24" s="46"/>
    </row>
    <row r="25" spans="1:9" s="20" customFormat="1" ht="32.25" customHeight="1" hidden="1">
      <c r="A25" s="452"/>
      <c r="B25" s="453"/>
      <c r="C25" s="4" t="s">
        <v>129</v>
      </c>
      <c r="D25" s="17">
        <v>120000</v>
      </c>
      <c r="E25" s="4" t="s">
        <v>129</v>
      </c>
      <c r="F25" s="19">
        <v>0</v>
      </c>
      <c r="G25" s="19">
        <f t="shared" si="0"/>
        <v>120000</v>
      </c>
      <c r="H25" s="4"/>
      <c r="I25" s="46"/>
    </row>
    <row r="26" spans="1:9" s="20" customFormat="1" ht="65.25" customHeight="1" hidden="1">
      <c r="A26" s="452"/>
      <c r="B26" s="453"/>
      <c r="C26" s="4" t="s">
        <v>353</v>
      </c>
      <c r="D26" s="17">
        <v>3348800</v>
      </c>
      <c r="E26" s="4"/>
      <c r="F26" s="19">
        <v>0</v>
      </c>
      <c r="G26" s="19">
        <f t="shared" si="0"/>
        <v>3348800</v>
      </c>
      <c r="H26" s="4"/>
      <c r="I26" s="46"/>
    </row>
    <row r="27" spans="1:9" s="20" customFormat="1" ht="38.25" customHeight="1" hidden="1">
      <c r="A27" s="452"/>
      <c r="B27" s="453"/>
      <c r="C27" s="4" t="s">
        <v>196</v>
      </c>
      <c r="D27" s="17">
        <v>0</v>
      </c>
      <c r="E27" s="4"/>
      <c r="F27" s="19"/>
      <c r="G27" s="19">
        <f t="shared" si="0"/>
        <v>0</v>
      </c>
      <c r="H27" s="4"/>
      <c r="I27" s="46"/>
    </row>
    <row r="28" spans="1:9" s="20" customFormat="1" ht="46.5" customHeight="1" hidden="1">
      <c r="A28" s="452"/>
      <c r="B28" s="453"/>
      <c r="C28" s="35" t="s">
        <v>264</v>
      </c>
      <c r="D28" s="38">
        <v>0</v>
      </c>
      <c r="E28" s="35"/>
      <c r="F28" s="36"/>
      <c r="G28" s="59">
        <f t="shared" si="0"/>
        <v>0</v>
      </c>
      <c r="H28" s="4"/>
      <c r="I28" s="46"/>
    </row>
    <row r="29" spans="1:9" s="20" customFormat="1" ht="62.25" customHeight="1" hidden="1">
      <c r="A29" s="452"/>
      <c r="B29" s="453"/>
      <c r="C29" s="4" t="s">
        <v>312</v>
      </c>
      <c r="D29" s="17"/>
      <c r="E29" s="35"/>
      <c r="F29" s="36"/>
      <c r="G29" s="19">
        <f t="shared" si="0"/>
        <v>0</v>
      </c>
      <c r="H29" s="4"/>
      <c r="I29" s="46"/>
    </row>
    <row r="30" spans="1:9" s="20" customFormat="1" ht="63" hidden="1">
      <c r="A30" s="452"/>
      <c r="B30" s="453"/>
      <c r="C30" s="4" t="s">
        <v>254</v>
      </c>
      <c r="D30" s="17"/>
      <c r="E30" s="4"/>
      <c r="F30" s="19"/>
      <c r="G30" s="19">
        <f t="shared" si="0"/>
        <v>0</v>
      </c>
      <c r="H30" s="4"/>
      <c r="I30" s="46"/>
    </row>
    <row r="31" spans="1:9" s="20" customFormat="1" ht="47.25">
      <c r="A31" s="22" t="s">
        <v>141</v>
      </c>
      <c r="B31" s="23" t="s">
        <v>49</v>
      </c>
      <c r="C31" s="4"/>
      <c r="D31" s="24">
        <f>D33+D34+D35+D36+D37+D40+D41+D42+D44++D46+D49+D50+D51+D54+D56+D57+D58+D59+D60+D61+D62+D63+D64+D65+D66+D71+D72+D53+D55+D52+D43</f>
        <v>51174841</v>
      </c>
      <c r="E31" s="5"/>
      <c r="F31" s="24">
        <f>F34+F35+F37+F41+F45+F46+F49+F62+F54+F66+F67+F68+F69+F70+F71+F33+F43+F61+F52+F40</f>
        <v>20937895</v>
      </c>
      <c r="G31" s="24">
        <f t="shared" si="0"/>
        <v>72112736</v>
      </c>
      <c r="H31" s="71"/>
      <c r="I31" s="46"/>
    </row>
    <row r="32" spans="1:9" s="20" customFormat="1" ht="44.25" customHeight="1" hidden="1">
      <c r="A32" s="18" t="s">
        <v>165</v>
      </c>
      <c r="B32" s="4" t="s">
        <v>166</v>
      </c>
      <c r="C32" s="4" t="s">
        <v>190</v>
      </c>
      <c r="D32" s="17"/>
      <c r="E32" s="4"/>
      <c r="F32" s="19"/>
      <c r="G32" s="9">
        <v>0</v>
      </c>
      <c r="H32" s="4"/>
      <c r="I32" s="46"/>
    </row>
    <row r="33" spans="1:9" s="20" customFormat="1" ht="66" customHeight="1" hidden="1">
      <c r="A33" s="18" t="s">
        <v>165</v>
      </c>
      <c r="B33" s="4" t="s">
        <v>166</v>
      </c>
      <c r="C33" s="4" t="s">
        <v>365</v>
      </c>
      <c r="D33" s="17">
        <v>885</v>
      </c>
      <c r="E33" s="4" t="s">
        <v>396</v>
      </c>
      <c r="F33" s="19">
        <v>14000</v>
      </c>
      <c r="G33" s="19">
        <f>D33+F33</f>
        <v>14885</v>
      </c>
      <c r="H33" s="4"/>
      <c r="I33" s="46"/>
    </row>
    <row r="34" spans="1:9" s="20" customFormat="1" ht="33" customHeight="1">
      <c r="A34" s="454" t="s">
        <v>67</v>
      </c>
      <c r="B34" s="453" t="s">
        <v>107</v>
      </c>
      <c r="C34" s="4" t="s">
        <v>428</v>
      </c>
      <c r="D34" s="17">
        <v>4567066</v>
      </c>
      <c r="E34" s="4" t="s">
        <v>409</v>
      </c>
      <c r="F34" s="19">
        <f>3158108-F35</f>
        <v>2760193</v>
      </c>
      <c r="G34" s="19">
        <f>D34+F34</f>
        <v>7327259</v>
      </c>
      <c r="H34" s="71" t="s">
        <v>13</v>
      </c>
      <c r="I34" s="46"/>
    </row>
    <row r="35" spans="1:9" s="20" customFormat="1" ht="47.25" hidden="1">
      <c r="A35" s="454"/>
      <c r="B35" s="453"/>
      <c r="C35" s="35" t="s">
        <v>7</v>
      </c>
      <c r="D35" s="38">
        <v>24450</v>
      </c>
      <c r="E35" s="35" t="s">
        <v>7</v>
      </c>
      <c r="F35" s="36">
        <v>397915</v>
      </c>
      <c r="G35" s="19">
        <f>D35+F35</f>
        <v>422365</v>
      </c>
      <c r="H35" s="4"/>
      <c r="I35" s="46"/>
    </row>
    <row r="36" spans="1:9" s="20" customFormat="1" ht="71.25" customHeight="1" hidden="1">
      <c r="A36" s="454"/>
      <c r="B36" s="453"/>
      <c r="C36" s="4" t="s">
        <v>365</v>
      </c>
      <c r="D36" s="17">
        <v>209486</v>
      </c>
      <c r="E36" s="35"/>
      <c r="F36" s="36"/>
      <c r="G36" s="19">
        <f>D36+F36</f>
        <v>209486</v>
      </c>
      <c r="H36" s="4"/>
      <c r="I36" s="46"/>
    </row>
    <row r="37" spans="1:9" s="20" customFormat="1" ht="35.25" customHeight="1">
      <c r="A37" s="454" t="s">
        <v>68</v>
      </c>
      <c r="B37" s="454" t="s">
        <v>108</v>
      </c>
      <c r="C37" s="4" t="s">
        <v>428</v>
      </c>
      <c r="D37" s="17">
        <v>6523141</v>
      </c>
      <c r="E37" s="4" t="s">
        <v>409</v>
      </c>
      <c r="F37" s="19">
        <f>5369916-F41</f>
        <v>3882915</v>
      </c>
      <c r="G37" s="19">
        <f>D37+F37</f>
        <v>10406056</v>
      </c>
      <c r="H37" s="71">
        <v>127071</v>
      </c>
      <c r="I37" s="46"/>
    </row>
    <row r="38" spans="1:9" s="20" customFormat="1" ht="32.25" customHeight="1" hidden="1">
      <c r="A38" s="454"/>
      <c r="B38" s="454"/>
      <c r="C38" s="4" t="s">
        <v>227</v>
      </c>
      <c r="D38" s="17"/>
      <c r="E38" s="4" t="s">
        <v>227</v>
      </c>
      <c r="F38" s="19"/>
      <c r="G38" s="19">
        <f aca="true" t="shared" si="1" ref="G38:G48">D38+F38</f>
        <v>0</v>
      </c>
      <c r="H38" s="4"/>
      <c r="I38" s="46"/>
    </row>
    <row r="39" spans="1:9" s="20" customFormat="1" ht="66" customHeight="1" hidden="1">
      <c r="A39" s="454"/>
      <c r="B39" s="454"/>
      <c r="C39" s="4" t="s">
        <v>227</v>
      </c>
      <c r="D39" s="17"/>
      <c r="E39" s="4" t="s">
        <v>227</v>
      </c>
      <c r="F39" s="19"/>
      <c r="G39" s="19">
        <f t="shared" si="1"/>
        <v>0</v>
      </c>
      <c r="H39" s="4"/>
      <c r="I39" s="46"/>
    </row>
    <row r="40" spans="1:9" s="20" customFormat="1" ht="35.25" customHeight="1">
      <c r="A40" s="454"/>
      <c r="B40" s="454"/>
      <c r="C40" s="4" t="s">
        <v>429</v>
      </c>
      <c r="D40" s="17">
        <v>522962</v>
      </c>
      <c r="E40" s="4" t="s">
        <v>429</v>
      </c>
      <c r="F40" s="19">
        <v>127071</v>
      </c>
      <c r="G40" s="19">
        <f t="shared" si="1"/>
        <v>650033</v>
      </c>
      <c r="H40" s="4" t="s">
        <v>13</v>
      </c>
      <c r="I40" s="46"/>
    </row>
    <row r="41" spans="1:9" s="20" customFormat="1" ht="47.25" hidden="1">
      <c r="A41" s="454"/>
      <c r="B41" s="454"/>
      <c r="C41" s="35" t="s">
        <v>7</v>
      </c>
      <c r="D41" s="38">
        <v>99122</v>
      </c>
      <c r="E41" s="35" t="s">
        <v>7</v>
      </c>
      <c r="F41" s="36">
        <v>1487001</v>
      </c>
      <c r="G41" s="19">
        <f>D41+F41</f>
        <v>1586123</v>
      </c>
      <c r="H41" s="4"/>
      <c r="I41" s="46"/>
    </row>
    <row r="42" spans="1:9" s="20" customFormat="1" ht="66" customHeight="1" hidden="1">
      <c r="A42" s="454"/>
      <c r="B42" s="454"/>
      <c r="C42" s="4" t="s">
        <v>365</v>
      </c>
      <c r="D42" s="17">
        <v>322041</v>
      </c>
      <c r="E42" s="35"/>
      <c r="F42" s="36"/>
      <c r="G42" s="19">
        <f t="shared" si="1"/>
        <v>322041</v>
      </c>
      <c r="H42" s="4"/>
      <c r="I42" s="46"/>
    </row>
    <row r="43" spans="1:9" s="20" customFormat="1" ht="35.25" customHeight="1">
      <c r="A43" s="454" t="s">
        <v>69</v>
      </c>
      <c r="B43" s="453" t="s">
        <v>109</v>
      </c>
      <c r="C43" s="4" t="s">
        <v>428</v>
      </c>
      <c r="D43" s="17">
        <v>1636</v>
      </c>
      <c r="E43" s="4" t="s">
        <v>409</v>
      </c>
      <c r="F43" s="19">
        <f>14800-F45</f>
        <v>0</v>
      </c>
      <c r="G43" s="19">
        <f t="shared" si="1"/>
        <v>1636</v>
      </c>
      <c r="H43" s="4"/>
      <c r="I43" s="46"/>
    </row>
    <row r="44" spans="1:9" s="20" customFormat="1" ht="70.5" customHeight="1" hidden="1">
      <c r="A44" s="454"/>
      <c r="B44" s="453"/>
      <c r="C44" s="4" t="s">
        <v>365</v>
      </c>
      <c r="D44" s="17">
        <v>5234</v>
      </c>
      <c r="E44" s="4"/>
      <c r="F44" s="19"/>
      <c r="G44" s="19">
        <f t="shared" si="1"/>
        <v>5234</v>
      </c>
      <c r="H44" s="4"/>
      <c r="I44" s="46"/>
    </row>
    <row r="45" spans="1:9" s="20" customFormat="1" ht="47.25" hidden="1">
      <c r="A45" s="454"/>
      <c r="B45" s="453"/>
      <c r="C45" s="4"/>
      <c r="D45" s="17"/>
      <c r="E45" s="35" t="s">
        <v>7</v>
      </c>
      <c r="F45" s="36">
        <v>14800</v>
      </c>
      <c r="G45" s="19">
        <f t="shared" si="1"/>
        <v>14800</v>
      </c>
      <c r="H45" s="71"/>
      <c r="I45" s="46"/>
    </row>
    <row r="46" spans="1:9" s="20" customFormat="1" ht="39" customHeight="1">
      <c r="A46" s="454" t="s">
        <v>26</v>
      </c>
      <c r="B46" s="453" t="s">
        <v>27</v>
      </c>
      <c r="C46" s="4" t="s">
        <v>430</v>
      </c>
      <c r="D46" s="17">
        <v>29827597</v>
      </c>
      <c r="E46" s="4" t="s">
        <v>410</v>
      </c>
      <c r="F46" s="19">
        <f>151878+393294-F49</f>
        <v>511523</v>
      </c>
      <c r="G46" s="19">
        <f t="shared" si="1"/>
        <v>30339120</v>
      </c>
      <c r="H46" s="4">
        <v>393294</v>
      </c>
      <c r="I46" s="46"/>
    </row>
    <row r="47" spans="1:9" s="20" customFormat="1" ht="46.5" customHeight="1" hidden="1">
      <c r="A47" s="454"/>
      <c r="B47" s="453"/>
      <c r="C47" s="4" t="s">
        <v>305</v>
      </c>
      <c r="D47" s="17">
        <v>0</v>
      </c>
      <c r="E47" s="4" t="s">
        <v>305</v>
      </c>
      <c r="F47" s="19">
        <v>0</v>
      </c>
      <c r="G47" s="19">
        <f t="shared" si="1"/>
        <v>0</v>
      </c>
      <c r="H47" s="4"/>
      <c r="I47" s="46"/>
    </row>
    <row r="48" spans="1:9" s="20" customFormat="1" ht="51.75" customHeight="1" hidden="1">
      <c r="A48" s="454"/>
      <c r="B48" s="453"/>
      <c r="C48" s="4"/>
      <c r="D48" s="21">
        <v>0</v>
      </c>
      <c r="E48" s="26"/>
      <c r="F48" s="16"/>
      <c r="G48" s="19">
        <f t="shared" si="1"/>
        <v>0</v>
      </c>
      <c r="H48" s="4"/>
      <c r="I48" s="46"/>
    </row>
    <row r="49" spans="1:9" s="20" customFormat="1" ht="47.25" hidden="1">
      <c r="A49" s="454"/>
      <c r="B49" s="453"/>
      <c r="C49" s="35" t="s">
        <v>7</v>
      </c>
      <c r="D49" s="36">
        <v>5000</v>
      </c>
      <c r="E49" s="35" t="s">
        <v>7</v>
      </c>
      <c r="F49" s="36">
        <v>33649</v>
      </c>
      <c r="G49" s="19">
        <f>D49+F49</f>
        <v>38649</v>
      </c>
      <c r="H49" s="4"/>
      <c r="I49" s="46"/>
    </row>
    <row r="50" spans="1:9" s="20" customFormat="1" ht="66.75" customHeight="1" hidden="1">
      <c r="A50" s="454"/>
      <c r="B50" s="453"/>
      <c r="C50" s="4" t="s">
        <v>365</v>
      </c>
      <c r="D50" s="19">
        <v>38395</v>
      </c>
      <c r="E50" s="35"/>
      <c r="F50" s="36"/>
      <c r="G50" s="19">
        <f aca="true" t="shared" si="2" ref="G50:G70">D50+F50</f>
        <v>38395</v>
      </c>
      <c r="H50" s="4"/>
      <c r="I50" s="46"/>
    </row>
    <row r="51" spans="1:9" s="20" customFormat="1" ht="63.75" customHeight="1" hidden="1">
      <c r="A51" s="18" t="s">
        <v>276</v>
      </c>
      <c r="B51" s="4" t="s">
        <v>275</v>
      </c>
      <c r="C51" s="4" t="s">
        <v>365</v>
      </c>
      <c r="D51" s="19">
        <v>2108</v>
      </c>
      <c r="E51" s="35"/>
      <c r="F51" s="36"/>
      <c r="G51" s="19">
        <f t="shared" si="2"/>
        <v>2108</v>
      </c>
      <c r="H51" s="4"/>
      <c r="I51" s="46"/>
    </row>
    <row r="52" spans="1:9" s="20" customFormat="1" ht="48" customHeight="1">
      <c r="A52" s="458" t="s">
        <v>367</v>
      </c>
      <c r="B52" s="456" t="s">
        <v>399</v>
      </c>
      <c r="C52" s="4" t="s">
        <v>428</v>
      </c>
      <c r="D52" s="19">
        <v>30000</v>
      </c>
      <c r="E52" s="4" t="s">
        <v>409</v>
      </c>
      <c r="F52" s="19">
        <v>400000</v>
      </c>
      <c r="G52" s="19">
        <f>D52+F52</f>
        <v>430000</v>
      </c>
      <c r="H52" s="4" t="s">
        <v>13</v>
      </c>
      <c r="I52" s="46"/>
    </row>
    <row r="53" spans="1:9" s="20" customFormat="1" ht="63.75" customHeight="1" hidden="1">
      <c r="A53" s="459"/>
      <c r="B53" s="457"/>
      <c r="C53" s="4" t="s">
        <v>365</v>
      </c>
      <c r="D53" s="19">
        <v>1684</v>
      </c>
      <c r="E53" s="4"/>
      <c r="F53" s="19"/>
      <c r="G53" s="19">
        <f>D53+F53</f>
        <v>1684</v>
      </c>
      <c r="H53" s="4"/>
      <c r="I53" s="46"/>
    </row>
    <row r="54" spans="1:9" s="51" customFormat="1" ht="37.5" customHeight="1">
      <c r="A54" s="458" t="s">
        <v>283</v>
      </c>
      <c r="B54" s="456" t="s">
        <v>284</v>
      </c>
      <c r="C54" s="4" t="s">
        <v>428</v>
      </c>
      <c r="D54" s="19">
        <v>60000</v>
      </c>
      <c r="E54" s="4" t="s">
        <v>409</v>
      </c>
      <c r="F54" s="19">
        <v>94430</v>
      </c>
      <c r="G54" s="19">
        <f t="shared" si="2"/>
        <v>154430</v>
      </c>
      <c r="H54" s="71" t="s">
        <v>13</v>
      </c>
      <c r="I54" s="52"/>
    </row>
    <row r="55" spans="1:9" s="51" customFormat="1" ht="46.5" customHeight="1" hidden="1">
      <c r="A55" s="459"/>
      <c r="B55" s="457"/>
      <c r="C55" s="4" t="s">
        <v>365</v>
      </c>
      <c r="D55" s="19">
        <v>10998</v>
      </c>
      <c r="E55" s="4"/>
      <c r="F55" s="19"/>
      <c r="G55" s="19">
        <f>D55</f>
        <v>10998</v>
      </c>
      <c r="H55" s="71"/>
      <c r="I55" s="52"/>
    </row>
    <row r="56" spans="1:9" s="20" customFormat="1" ht="60.75" customHeight="1" hidden="1">
      <c r="A56" s="18" t="s">
        <v>277</v>
      </c>
      <c r="B56" s="4" t="s">
        <v>278</v>
      </c>
      <c r="C56" s="4" t="s">
        <v>365</v>
      </c>
      <c r="D56" s="19">
        <v>8769</v>
      </c>
      <c r="E56" s="35"/>
      <c r="F56" s="36"/>
      <c r="G56" s="19">
        <f t="shared" si="2"/>
        <v>8769</v>
      </c>
      <c r="H56" s="4"/>
      <c r="I56" s="46"/>
    </row>
    <row r="57" spans="1:9" s="20" customFormat="1" ht="47.25" hidden="1">
      <c r="A57" s="25" t="s">
        <v>81</v>
      </c>
      <c r="B57" s="4" t="s">
        <v>28</v>
      </c>
      <c r="C57" s="4" t="s">
        <v>433</v>
      </c>
      <c r="D57" s="21">
        <v>463467</v>
      </c>
      <c r="E57" s="4"/>
      <c r="F57" s="16"/>
      <c r="G57" s="19">
        <f t="shared" si="2"/>
        <v>463467</v>
      </c>
      <c r="H57" s="4"/>
      <c r="I57" s="46"/>
    </row>
    <row r="58" spans="1:9" s="20" customFormat="1" ht="95.25" customHeight="1" hidden="1">
      <c r="A58" s="18" t="s">
        <v>70</v>
      </c>
      <c r="B58" s="4" t="s">
        <v>103</v>
      </c>
      <c r="C58" s="4" t="s">
        <v>431</v>
      </c>
      <c r="D58" s="17">
        <v>4377290</v>
      </c>
      <c r="E58" s="4"/>
      <c r="F58" s="9"/>
      <c r="G58" s="19">
        <f t="shared" si="2"/>
        <v>4377290</v>
      </c>
      <c r="H58" s="4"/>
      <c r="I58" s="46"/>
    </row>
    <row r="59" spans="1:9" s="20" customFormat="1" ht="35.25" customHeight="1" hidden="1">
      <c r="A59" s="18" t="s">
        <v>157</v>
      </c>
      <c r="B59" s="4" t="s">
        <v>158</v>
      </c>
      <c r="C59" s="4" t="s">
        <v>432</v>
      </c>
      <c r="D59" s="17">
        <v>199559</v>
      </c>
      <c r="E59" s="4"/>
      <c r="F59" s="9"/>
      <c r="G59" s="19">
        <f t="shared" si="2"/>
        <v>199559</v>
      </c>
      <c r="H59" s="4"/>
      <c r="I59" s="46"/>
    </row>
    <row r="60" spans="1:9" s="20" customFormat="1" ht="47.25" hidden="1">
      <c r="A60" s="18" t="s">
        <v>238</v>
      </c>
      <c r="B60" s="4" t="s">
        <v>239</v>
      </c>
      <c r="C60" s="4" t="s">
        <v>432</v>
      </c>
      <c r="D60" s="17">
        <v>99067</v>
      </c>
      <c r="E60" s="4"/>
      <c r="F60" s="19"/>
      <c r="G60" s="19">
        <f t="shared" si="2"/>
        <v>99067</v>
      </c>
      <c r="H60" s="4"/>
      <c r="I60" s="46"/>
    </row>
    <row r="61" spans="1:9" s="20" customFormat="1" ht="31.5" customHeight="1">
      <c r="A61" s="454" t="s">
        <v>110</v>
      </c>
      <c r="B61" s="453" t="s">
        <v>191</v>
      </c>
      <c r="C61" s="4" t="s">
        <v>432</v>
      </c>
      <c r="D61" s="17">
        <v>447580</v>
      </c>
      <c r="E61" s="4" t="s">
        <v>411</v>
      </c>
      <c r="F61" s="19">
        <f>39500-F62</f>
        <v>0</v>
      </c>
      <c r="G61" s="19">
        <f t="shared" si="2"/>
        <v>447580</v>
      </c>
      <c r="H61" s="4" t="s">
        <v>13</v>
      </c>
      <c r="I61" s="46"/>
    </row>
    <row r="62" spans="1:9" s="20" customFormat="1" ht="47.25" hidden="1">
      <c r="A62" s="454"/>
      <c r="B62" s="453"/>
      <c r="C62" s="35" t="s">
        <v>7</v>
      </c>
      <c r="D62" s="36">
        <v>1000</v>
      </c>
      <c r="E62" s="35" t="s">
        <v>7</v>
      </c>
      <c r="F62" s="36">
        <v>39500</v>
      </c>
      <c r="G62" s="19">
        <f t="shared" si="2"/>
        <v>40500</v>
      </c>
      <c r="H62" s="71"/>
      <c r="I62" s="46"/>
    </row>
    <row r="63" spans="1:9" s="20" customFormat="1" ht="65.25" customHeight="1" hidden="1">
      <c r="A63" s="454"/>
      <c r="B63" s="453"/>
      <c r="C63" s="4" t="s">
        <v>365</v>
      </c>
      <c r="D63" s="19">
        <v>23788</v>
      </c>
      <c r="E63" s="35"/>
      <c r="F63" s="36"/>
      <c r="G63" s="19">
        <f t="shared" si="2"/>
        <v>23788</v>
      </c>
      <c r="H63" s="4"/>
      <c r="I63" s="46"/>
    </row>
    <row r="64" spans="1:9" s="20" customFormat="1" ht="47.25" hidden="1">
      <c r="A64" s="18" t="s">
        <v>155</v>
      </c>
      <c r="B64" s="4" t="s">
        <v>156</v>
      </c>
      <c r="C64" s="4" t="s">
        <v>0</v>
      </c>
      <c r="D64" s="17">
        <v>733099</v>
      </c>
      <c r="E64" s="4"/>
      <c r="F64" s="19"/>
      <c r="G64" s="19">
        <f t="shared" si="2"/>
        <v>733099</v>
      </c>
      <c r="H64" s="4"/>
      <c r="I64" s="46"/>
    </row>
    <row r="65" spans="1:9" s="20" customFormat="1" ht="63" hidden="1">
      <c r="A65" s="452">
        <v>130112</v>
      </c>
      <c r="B65" s="453" t="s">
        <v>92</v>
      </c>
      <c r="C65" s="4" t="s">
        <v>365</v>
      </c>
      <c r="D65" s="17">
        <v>1046</v>
      </c>
      <c r="E65" s="4"/>
      <c r="F65" s="19"/>
      <c r="G65" s="19">
        <f t="shared" si="2"/>
        <v>1046</v>
      </c>
      <c r="H65" s="4"/>
      <c r="I65" s="46"/>
    </row>
    <row r="66" spans="1:9" s="20" customFormat="1" ht="37.5" customHeight="1">
      <c r="A66" s="452"/>
      <c r="B66" s="453"/>
      <c r="C66" s="4" t="s">
        <v>1</v>
      </c>
      <c r="D66" s="21">
        <v>453294</v>
      </c>
      <c r="E66" s="4" t="s">
        <v>1</v>
      </c>
      <c r="F66" s="12">
        <v>42880</v>
      </c>
      <c r="G66" s="19">
        <f t="shared" si="2"/>
        <v>496174</v>
      </c>
      <c r="H66" s="71">
        <v>42880</v>
      </c>
      <c r="I66" s="46"/>
    </row>
    <row r="67" spans="1:9" s="20" customFormat="1" ht="31.5" hidden="1">
      <c r="A67" s="454" t="s">
        <v>84</v>
      </c>
      <c r="B67" s="453" t="s">
        <v>85</v>
      </c>
      <c r="C67" s="4"/>
      <c r="D67" s="5"/>
      <c r="E67" s="4" t="s">
        <v>412</v>
      </c>
      <c r="F67" s="12">
        <v>8667311</v>
      </c>
      <c r="G67" s="19">
        <f t="shared" si="2"/>
        <v>8667311</v>
      </c>
      <c r="H67" s="71"/>
      <c r="I67" s="46"/>
    </row>
    <row r="68" spans="1:9" s="20" customFormat="1" ht="31.5" hidden="1">
      <c r="A68" s="454"/>
      <c r="B68" s="453"/>
      <c r="C68" s="4"/>
      <c r="D68" s="5"/>
      <c r="E68" s="4" t="s">
        <v>413</v>
      </c>
      <c r="F68" s="12">
        <v>1248451</v>
      </c>
      <c r="G68" s="19">
        <f t="shared" si="2"/>
        <v>1248451</v>
      </c>
      <c r="H68" s="4"/>
      <c r="I68" s="46"/>
    </row>
    <row r="69" spans="1:9" s="20" customFormat="1" ht="31.5" hidden="1">
      <c r="A69" s="454"/>
      <c r="B69" s="453"/>
      <c r="C69" s="4"/>
      <c r="D69" s="5"/>
      <c r="E69" s="4" t="s">
        <v>414</v>
      </c>
      <c r="F69" s="12">
        <v>1065845</v>
      </c>
      <c r="G69" s="19">
        <f t="shared" si="2"/>
        <v>1065845</v>
      </c>
      <c r="H69" s="4"/>
      <c r="I69" s="46"/>
    </row>
    <row r="70" spans="1:9" s="20" customFormat="1" ht="31.5" hidden="1">
      <c r="A70" s="4">
        <v>240601</v>
      </c>
      <c r="B70" s="4" t="s">
        <v>106</v>
      </c>
      <c r="C70" s="4"/>
      <c r="D70" s="5"/>
      <c r="E70" s="4" t="s">
        <v>348</v>
      </c>
      <c r="F70" s="17">
        <v>119053</v>
      </c>
      <c r="G70" s="19">
        <f t="shared" si="2"/>
        <v>119053</v>
      </c>
      <c r="H70" s="71"/>
      <c r="I70" s="46"/>
    </row>
    <row r="71" spans="1:9" s="20" customFormat="1" ht="77.25" customHeight="1" hidden="1">
      <c r="A71" s="25" t="s">
        <v>24</v>
      </c>
      <c r="B71" s="4" t="s">
        <v>25</v>
      </c>
      <c r="C71" s="456" t="s">
        <v>408</v>
      </c>
      <c r="D71" s="15">
        <v>2065077</v>
      </c>
      <c r="E71" s="4" t="s">
        <v>408</v>
      </c>
      <c r="F71" s="16">
        <v>31358</v>
      </c>
      <c r="G71" s="19">
        <f>D71+F71</f>
        <v>2096435</v>
      </c>
      <c r="H71" s="4"/>
      <c r="I71" s="46"/>
    </row>
    <row r="72" spans="1:9" s="20" customFormat="1" ht="94.5" hidden="1">
      <c r="A72" s="25" t="s">
        <v>302</v>
      </c>
      <c r="B72" s="4" t="s">
        <v>303</v>
      </c>
      <c r="C72" s="457"/>
      <c r="D72" s="15">
        <v>50000</v>
      </c>
      <c r="E72" s="4"/>
      <c r="F72" s="16"/>
      <c r="G72" s="19">
        <f>D72+F72</f>
        <v>50000</v>
      </c>
      <c r="H72" s="4"/>
      <c r="I72" s="46"/>
    </row>
    <row r="73" spans="1:9" s="20" customFormat="1" ht="46.5" customHeight="1">
      <c r="A73" s="22" t="s">
        <v>142</v>
      </c>
      <c r="B73" s="23" t="s">
        <v>50</v>
      </c>
      <c r="C73" s="4"/>
      <c r="D73" s="24">
        <f>D75+D76+D77+D78+D79+D80+D81+D82+D83+D84+D86+D85+D88+D89+D91+D93+D74+D90</f>
        <v>12844390</v>
      </c>
      <c r="E73" s="5"/>
      <c r="F73" s="24">
        <f>F75+F76+F78+F80+F81+F83+F84+F86+F87+F89+F94+F74+F92</f>
        <v>23146713</v>
      </c>
      <c r="G73" s="28">
        <f>D73+F73</f>
        <v>35991103</v>
      </c>
      <c r="H73" s="71"/>
      <c r="I73" s="46"/>
    </row>
    <row r="74" spans="1:9" s="20" customFormat="1" ht="49.5" customHeight="1" hidden="1">
      <c r="A74" s="18" t="s">
        <v>165</v>
      </c>
      <c r="B74" s="4" t="s">
        <v>166</v>
      </c>
      <c r="C74" s="4" t="s">
        <v>366</v>
      </c>
      <c r="D74" s="17">
        <v>2829</v>
      </c>
      <c r="E74" s="4" t="s">
        <v>396</v>
      </c>
      <c r="F74" s="19">
        <v>7000</v>
      </c>
      <c r="G74" s="19">
        <f>D74+F74</f>
        <v>9829</v>
      </c>
      <c r="H74" s="4"/>
      <c r="I74" s="46"/>
    </row>
    <row r="75" spans="1:9" s="20" customFormat="1" ht="52.5" customHeight="1">
      <c r="A75" s="454" t="s">
        <v>72</v>
      </c>
      <c r="B75" s="453" t="s">
        <v>19</v>
      </c>
      <c r="C75" s="4" t="s">
        <v>292</v>
      </c>
      <c r="D75" s="17">
        <v>0</v>
      </c>
      <c r="E75" s="4" t="s">
        <v>292</v>
      </c>
      <c r="F75" s="19">
        <v>4059683</v>
      </c>
      <c r="G75" s="19">
        <f>D75+F75</f>
        <v>4059683</v>
      </c>
      <c r="H75" s="71">
        <v>299733</v>
      </c>
      <c r="I75" s="46"/>
    </row>
    <row r="76" spans="1:9" s="20" customFormat="1" ht="51.75" customHeight="1" hidden="1">
      <c r="A76" s="454"/>
      <c r="B76" s="453"/>
      <c r="C76" s="4"/>
      <c r="D76" s="17">
        <v>0</v>
      </c>
      <c r="E76" s="4"/>
      <c r="F76" s="19">
        <v>0</v>
      </c>
      <c r="G76" s="19">
        <f aca="true" t="shared" si="3" ref="G76:G94">D76+F76</f>
        <v>0</v>
      </c>
      <c r="H76" s="4"/>
      <c r="I76" s="46"/>
    </row>
    <row r="77" spans="1:9" s="20" customFormat="1" ht="54.75" customHeight="1" hidden="1">
      <c r="A77" s="454"/>
      <c r="B77" s="453"/>
      <c r="C77" s="4" t="s">
        <v>293</v>
      </c>
      <c r="D77" s="17">
        <v>406050</v>
      </c>
      <c r="E77" s="4"/>
      <c r="F77" s="19"/>
      <c r="G77" s="19">
        <f t="shared" si="3"/>
        <v>406050</v>
      </c>
      <c r="H77" s="4"/>
      <c r="I77" s="46"/>
    </row>
    <row r="78" spans="1:9" s="20" customFormat="1" ht="47.25" hidden="1">
      <c r="A78" s="454"/>
      <c r="B78" s="453"/>
      <c r="C78" s="35" t="s">
        <v>7</v>
      </c>
      <c r="D78" s="38">
        <v>38750</v>
      </c>
      <c r="E78" s="35" t="s">
        <v>7</v>
      </c>
      <c r="F78" s="36">
        <v>473495</v>
      </c>
      <c r="G78" s="19">
        <f t="shared" si="3"/>
        <v>512245</v>
      </c>
      <c r="H78" s="4"/>
      <c r="I78" s="46"/>
    </row>
    <row r="79" spans="1:9" s="20" customFormat="1" ht="63" hidden="1">
      <c r="A79" s="454"/>
      <c r="B79" s="453"/>
      <c r="C79" s="4" t="s">
        <v>366</v>
      </c>
      <c r="D79" s="17">
        <v>9003</v>
      </c>
      <c r="E79" s="35"/>
      <c r="F79" s="36"/>
      <c r="G79" s="19">
        <f t="shared" si="3"/>
        <v>9003</v>
      </c>
      <c r="H79" s="4"/>
      <c r="I79" s="46"/>
    </row>
    <row r="80" spans="1:9" s="20" customFormat="1" ht="50.25" customHeight="1">
      <c r="A80" s="454" t="s">
        <v>111</v>
      </c>
      <c r="B80" s="453" t="s">
        <v>229</v>
      </c>
      <c r="C80" s="4" t="s">
        <v>292</v>
      </c>
      <c r="D80" s="17">
        <v>0</v>
      </c>
      <c r="E80" s="4" t="s">
        <v>292</v>
      </c>
      <c r="F80" s="19">
        <v>699466</v>
      </c>
      <c r="G80" s="19">
        <f t="shared" si="3"/>
        <v>699466</v>
      </c>
      <c r="H80" s="71" t="s">
        <v>13</v>
      </c>
      <c r="I80" s="46"/>
    </row>
    <row r="81" spans="1:9" s="20" customFormat="1" ht="47.25" hidden="1">
      <c r="A81" s="454"/>
      <c r="B81" s="453"/>
      <c r="C81" s="35" t="s">
        <v>7</v>
      </c>
      <c r="D81" s="36">
        <v>0</v>
      </c>
      <c r="E81" s="35" t="s">
        <v>7</v>
      </c>
      <c r="F81" s="36">
        <v>96920</v>
      </c>
      <c r="G81" s="19">
        <f t="shared" si="3"/>
        <v>96920</v>
      </c>
      <c r="H81" s="4"/>
      <c r="I81" s="46"/>
    </row>
    <row r="82" spans="1:9" s="20" customFormat="1" ht="15.75" hidden="1">
      <c r="A82" s="454"/>
      <c r="B82" s="453"/>
      <c r="C82" s="4"/>
      <c r="D82" s="19">
        <v>0</v>
      </c>
      <c r="E82" s="35"/>
      <c r="F82" s="36"/>
      <c r="G82" s="19">
        <f t="shared" si="3"/>
        <v>0</v>
      </c>
      <c r="H82" s="4"/>
      <c r="I82" s="46"/>
    </row>
    <row r="83" spans="1:9" s="20" customFormat="1" ht="47.25">
      <c r="A83" s="454" t="s">
        <v>73</v>
      </c>
      <c r="B83" s="453" t="s">
        <v>20</v>
      </c>
      <c r="C83" s="4" t="s">
        <v>292</v>
      </c>
      <c r="D83" s="17">
        <v>0</v>
      </c>
      <c r="E83" s="4" t="s">
        <v>292</v>
      </c>
      <c r="F83" s="19">
        <v>668216</v>
      </c>
      <c r="G83" s="19">
        <f t="shared" si="3"/>
        <v>668216</v>
      </c>
      <c r="H83" s="71" t="s">
        <v>13</v>
      </c>
      <c r="I83" s="46"/>
    </row>
    <row r="84" spans="1:9" s="20" customFormat="1" ht="47.25" hidden="1">
      <c r="A84" s="454"/>
      <c r="B84" s="453"/>
      <c r="C84" s="35" t="s">
        <v>7</v>
      </c>
      <c r="D84" s="36">
        <v>28156</v>
      </c>
      <c r="E84" s="35" t="s">
        <v>7</v>
      </c>
      <c r="F84" s="36">
        <v>10000</v>
      </c>
      <c r="G84" s="19">
        <f t="shared" si="3"/>
        <v>38156</v>
      </c>
      <c r="H84" s="4"/>
      <c r="I84" s="46"/>
    </row>
    <row r="85" spans="1:9" s="20" customFormat="1" ht="15.75" hidden="1">
      <c r="A85" s="454"/>
      <c r="B85" s="453"/>
      <c r="C85" s="4"/>
      <c r="D85" s="19">
        <v>0</v>
      </c>
      <c r="E85" s="35"/>
      <c r="F85" s="36"/>
      <c r="G85" s="19">
        <f t="shared" si="3"/>
        <v>0</v>
      </c>
      <c r="H85" s="4"/>
      <c r="I85" s="46"/>
    </row>
    <row r="86" spans="1:9" s="20" customFormat="1" ht="47.25" customHeight="1">
      <c r="A86" s="454" t="s">
        <v>74</v>
      </c>
      <c r="B86" s="453" t="s">
        <v>21</v>
      </c>
      <c r="C86" s="4" t="s">
        <v>292</v>
      </c>
      <c r="D86" s="17">
        <v>0</v>
      </c>
      <c r="E86" s="4" t="s">
        <v>292</v>
      </c>
      <c r="F86" s="19">
        <v>6000</v>
      </c>
      <c r="G86" s="19">
        <f t="shared" si="3"/>
        <v>6000</v>
      </c>
      <c r="H86" s="71">
        <v>265928</v>
      </c>
      <c r="I86" s="46"/>
    </row>
    <row r="87" spans="1:9" s="20" customFormat="1" ht="47.25" hidden="1">
      <c r="A87" s="454"/>
      <c r="B87" s="453"/>
      <c r="C87" s="4"/>
      <c r="D87" s="17"/>
      <c r="E87" s="35" t="s">
        <v>7</v>
      </c>
      <c r="F87" s="36">
        <v>6000</v>
      </c>
      <c r="G87" s="19">
        <f t="shared" si="3"/>
        <v>6000</v>
      </c>
      <c r="H87" s="4"/>
      <c r="I87" s="46"/>
    </row>
    <row r="88" spans="1:9" s="20" customFormat="1" ht="66" customHeight="1" hidden="1">
      <c r="A88" s="454"/>
      <c r="B88" s="453"/>
      <c r="C88" s="4"/>
      <c r="D88" s="17">
        <v>0</v>
      </c>
      <c r="E88" s="35"/>
      <c r="F88" s="36"/>
      <c r="G88" s="19">
        <f t="shared" si="3"/>
        <v>0</v>
      </c>
      <c r="H88" s="4"/>
      <c r="I88" s="46"/>
    </row>
    <row r="89" spans="1:9" s="53" customFormat="1" ht="50.25" customHeight="1">
      <c r="A89" s="458" t="s">
        <v>285</v>
      </c>
      <c r="B89" s="456" t="s">
        <v>286</v>
      </c>
      <c r="C89" s="4" t="s">
        <v>292</v>
      </c>
      <c r="D89" s="17">
        <v>0</v>
      </c>
      <c r="E89" s="4" t="s">
        <v>292</v>
      </c>
      <c r="F89" s="19">
        <v>5905334</v>
      </c>
      <c r="G89" s="19">
        <f t="shared" si="3"/>
        <v>5905334</v>
      </c>
      <c r="H89" s="71">
        <v>19555</v>
      </c>
      <c r="I89" s="46"/>
    </row>
    <row r="90" spans="1:9" s="53" customFormat="1" ht="60" customHeight="1" hidden="1">
      <c r="A90" s="459"/>
      <c r="B90" s="457"/>
      <c r="C90" s="4" t="s">
        <v>366</v>
      </c>
      <c r="D90" s="17">
        <v>4380</v>
      </c>
      <c r="E90" s="4"/>
      <c r="F90" s="19"/>
      <c r="G90" s="19">
        <f>D90+F90</f>
        <v>4380</v>
      </c>
      <c r="H90" s="71"/>
      <c r="I90" s="46"/>
    </row>
    <row r="91" spans="1:9" s="20" customFormat="1" ht="47.25" hidden="1">
      <c r="A91" s="18" t="s">
        <v>112</v>
      </c>
      <c r="B91" s="4" t="s">
        <v>113</v>
      </c>
      <c r="C91" s="4" t="s">
        <v>242</v>
      </c>
      <c r="D91" s="17">
        <v>9209185</v>
      </c>
      <c r="E91" s="4"/>
      <c r="F91" s="9"/>
      <c r="G91" s="19">
        <f t="shared" si="3"/>
        <v>9209185</v>
      </c>
      <c r="H91" s="4"/>
      <c r="I91" s="46"/>
    </row>
    <row r="92" spans="1:9" s="20" customFormat="1" ht="63.75" customHeight="1" hidden="1">
      <c r="A92" s="18" t="s">
        <v>398</v>
      </c>
      <c r="B92" s="4" t="s">
        <v>399</v>
      </c>
      <c r="C92" s="4"/>
      <c r="D92" s="17"/>
      <c r="E92" s="4" t="s">
        <v>397</v>
      </c>
      <c r="F92" s="19">
        <v>35000</v>
      </c>
      <c r="G92" s="19">
        <f t="shared" si="3"/>
        <v>35000</v>
      </c>
      <c r="H92" s="4"/>
      <c r="I92" s="46"/>
    </row>
    <row r="93" spans="1:9" s="20" customFormat="1" ht="46.5" customHeight="1" hidden="1">
      <c r="A93" s="18" t="s">
        <v>76</v>
      </c>
      <c r="B93" s="4" t="s">
        <v>230</v>
      </c>
      <c r="C93" s="4" t="s">
        <v>9</v>
      </c>
      <c r="D93" s="17">
        <v>3146037</v>
      </c>
      <c r="E93" s="4"/>
      <c r="F93" s="9"/>
      <c r="G93" s="19">
        <f t="shared" si="3"/>
        <v>3146037</v>
      </c>
      <c r="H93" s="4"/>
      <c r="I93" s="46"/>
    </row>
    <row r="94" spans="1:9" s="20" customFormat="1" ht="52.5" customHeight="1" hidden="1">
      <c r="A94" s="18" t="s">
        <v>84</v>
      </c>
      <c r="B94" s="4" t="s">
        <v>85</v>
      </c>
      <c r="C94" s="4"/>
      <c r="D94" s="5"/>
      <c r="E94" s="4" t="s">
        <v>397</v>
      </c>
      <c r="F94" s="19">
        <v>11179599</v>
      </c>
      <c r="G94" s="19">
        <f t="shared" si="3"/>
        <v>11179599</v>
      </c>
      <c r="H94" s="71"/>
      <c r="I94" s="46"/>
    </row>
    <row r="95" spans="1:9" s="20" customFormat="1" ht="36" customHeight="1" hidden="1">
      <c r="A95" s="454" t="s">
        <v>71</v>
      </c>
      <c r="B95" s="453" t="s">
        <v>105</v>
      </c>
      <c r="C95" s="4"/>
      <c r="D95" s="5"/>
      <c r="E95" s="4" t="s">
        <v>130</v>
      </c>
      <c r="F95" s="12"/>
      <c r="G95" s="9">
        <v>0</v>
      </c>
      <c r="H95" s="4"/>
      <c r="I95" s="46"/>
    </row>
    <row r="96" spans="1:9" s="20" customFormat="1" ht="33" customHeight="1" hidden="1">
      <c r="A96" s="454"/>
      <c r="B96" s="453"/>
      <c r="C96" s="4"/>
      <c r="D96" s="5"/>
      <c r="E96" s="4" t="s">
        <v>131</v>
      </c>
      <c r="F96" s="12"/>
      <c r="G96" s="9">
        <v>0</v>
      </c>
      <c r="H96" s="4"/>
      <c r="I96" s="46"/>
    </row>
    <row r="97" spans="1:9" s="20" customFormat="1" ht="49.5" customHeight="1" hidden="1">
      <c r="A97" s="22" t="s">
        <v>143</v>
      </c>
      <c r="B97" s="23" t="s">
        <v>51</v>
      </c>
      <c r="C97" s="4"/>
      <c r="D97" s="28">
        <f>D100+D103+D105+D106+D108+D109+D110+D111+D112+D113+D117+D119+D120+D101</f>
        <v>13820054</v>
      </c>
      <c r="E97" s="9"/>
      <c r="F97" s="28">
        <f>F98+F101+F105+F106+F108+F111+F114+F115</f>
        <v>4962683</v>
      </c>
      <c r="G97" s="28">
        <f>D97+F97</f>
        <v>18782737</v>
      </c>
      <c r="H97" s="71"/>
      <c r="I97" s="46"/>
    </row>
    <row r="98" spans="1:9" s="20" customFormat="1" ht="31.5" hidden="1">
      <c r="A98" s="454" t="s">
        <v>165</v>
      </c>
      <c r="B98" s="453" t="s">
        <v>166</v>
      </c>
      <c r="C98" s="4"/>
      <c r="D98" s="19"/>
      <c r="E98" s="4" t="s">
        <v>396</v>
      </c>
      <c r="F98" s="19">
        <v>523900</v>
      </c>
      <c r="G98" s="19">
        <f>D98+F98</f>
        <v>523900</v>
      </c>
      <c r="H98" s="4"/>
      <c r="I98" s="46"/>
    </row>
    <row r="99" spans="1:9" s="20" customFormat="1" ht="96.75" customHeight="1" hidden="1">
      <c r="A99" s="454"/>
      <c r="B99" s="453"/>
      <c r="C99" s="4" t="s">
        <v>228</v>
      </c>
      <c r="D99" s="17">
        <v>0</v>
      </c>
      <c r="E99" s="4"/>
      <c r="F99" s="9"/>
      <c r="G99" s="19">
        <f aca="true" t="shared" si="4" ref="G99:G120">D99+F99</f>
        <v>0</v>
      </c>
      <c r="H99" s="4"/>
      <c r="I99" s="46"/>
    </row>
    <row r="100" spans="1:9" s="20" customFormat="1" ht="64.5" customHeight="1" hidden="1">
      <c r="A100" s="454"/>
      <c r="B100" s="453"/>
      <c r="C100" s="4" t="s">
        <v>366</v>
      </c>
      <c r="D100" s="19">
        <v>5519</v>
      </c>
      <c r="E100" s="4"/>
      <c r="F100" s="9"/>
      <c r="G100" s="19">
        <f t="shared" si="4"/>
        <v>5519</v>
      </c>
      <c r="H100" s="4"/>
      <c r="I100" s="46"/>
    </row>
    <row r="101" spans="1:9" s="20" customFormat="1" ht="51.75" customHeight="1" hidden="1">
      <c r="A101" s="454" t="s">
        <v>79</v>
      </c>
      <c r="B101" s="453" t="s">
        <v>234</v>
      </c>
      <c r="C101" s="4" t="s">
        <v>366</v>
      </c>
      <c r="D101" s="19">
        <v>239</v>
      </c>
      <c r="E101" s="4" t="s">
        <v>415</v>
      </c>
      <c r="F101" s="19">
        <v>119850</v>
      </c>
      <c r="G101" s="19">
        <f t="shared" si="4"/>
        <v>120089</v>
      </c>
      <c r="H101" s="4"/>
      <c r="I101" s="46"/>
    </row>
    <row r="102" spans="1:9" s="20" customFormat="1" ht="63" hidden="1">
      <c r="A102" s="454"/>
      <c r="B102" s="453"/>
      <c r="C102" s="4" t="s">
        <v>282</v>
      </c>
      <c r="D102" s="17">
        <v>0</v>
      </c>
      <c r="E102" s="4"/>
      <c r="F102" s="19"/>
      <c r="G102" s="19">
        <f t="shared" si="4"/>
        <v>0</v>
      </c>
      <c r="H102" s="4"/>
      <c r="I102" s="46"/>
    </row>
    <row r="103" spans="1:9" s="20" customFormat="1" ht="47.25" hidden="1">
      <c r="A103" s="18" t="s">
        <v>80</v>
      </c>
      <c r="B103" s="4" t="s">
        <v>235</v>
      </c>
      <c r="C103" s="4" t="s">
        <v>415</v>
      </c>
      <c r="D103" s="17">
        <v>201763</v>
      </c>
      <c r="E103" s="4"/>
      <c r="F103" s="9"/>
      <c r="G103" s="19">
        <f t="shared" si="4"/>
        <v>201763</v>
      </c>
      <c r="H103" s="4"/>
      <c r="I103" s="46"/>
    </row>
    <row r="104" spans="1:9" s="20" customFormat="1" ht="47.25" hidden="1">
      <c r="A104" s="18" t="s">
        <v>81</v>
      </c>
      <c r="B104" s="4" t="s">
        <v>236</v>
      </c>
      <c r="C104" s="4"/>
      <c r="D104" s="17"/>
      <c r="E104" s="4"/>
      <c r="F104" s="9"/>
      <c r="G104" s="19">
        <f t="shared" si="4"/>
        <v>0</v>
      </c>
      <c r="H104" s="4"/>
      <c r="I104" s="46"/>
    </row>
    <row r="105" spans="1:9" s="20" customFormat="1" ht="47.25" customHeight="1" hidden="1">
      <c r="A105" s="454" t="s">
        <v>163</v>
      </c>
      <c r="B105" s="453" t="s">
        <v>164</v>
      </c>
      <c r="C105" s="4" t="s">
        <v>391</v>
      </c>
      <c r="D105" s="17">
        <v>3925134</v>
      </c>
      <c r="E105" s="4" t="s">
        <v>416</v>
      </c>
      <c r="F105" s="19">
        <v>53060</v>
      </c>
      <c r="G105" s="19">
        <f t="shared" si="4"/>
        <v>3978194</v>
      </c>
      <c r="H105" s="4"/>
      <c r="I105" s="46"/>
    </row>
    <row r="106" spans="1:9" s="20" customFormat="1" ht="50.25" customHeight="1" hidden="1">
      <c r="A106" s="454"/>
      <c r="B106" s="453"/>
      <c r="C106" s="4" t="s">
        <v>340</v>
      </c>
      <c r="D106" s="17">
        <v>24192</v>
      </c>
      <c r="E106" s="4" t="s">
        <v>340</v>
      </c>
      <c r="F106" s="19">
        <v>24192</v>
      </c>
      <c r="G106" s="19">
        <f t="shared" si="4"/>
        <v>48384</v>
      </c>
      <c r="H106" s="4"/>
      <c r="I106" s="46"/>
    </row>
    <row r="107" spans="1:9" s="20" customFormat="1" ht="110.25" customHeight="1" hidden="1">
      <c r="A107" s="454"/>
      <c r="B107" s="453"/>
      <c r="C107" s="4"/>
      <c r="D107" s="17"/>
      <c r="E107" s="4"/>
      <c r="F107" s="9"/>
      <c r="G107" s="19">
        <f t="shared" si="4"/>
        <v>0</v>
      </c>
      <c r="H107" s="4"/>
      <c r="I107" s="46"/>
    </row>
    <row r="108" spans="1:9" s="20" customFormat="1" ht="51" customHeight="1" hidden="1">
      <c r="A108" s="454"/>
      <c r="B108" s="453"/>
      <c r="C108" s="35" t="s">
        <v>7</v>
      </c>
      <c r="D108" s="37">
        <v>3500</v>
      </c>
      <c r="E108" s="35" t="s">
        <v>7</v>
      </c>
      <c r="F108" s="37">
        <v>23400</v>
      </c>
      <c r="G108" s="19">
        <f t="shared" si="4"/>
        <v>26900</v>
      </c>
      <c r="H108" s="4"/>
      <c r="I108" s="46"/>
    </row>
    <row r="109" spans="1:9" s="20" customFormat="1" ht="63" hidden="1">
      <c r="A109" s="454"/>
      <c r="B109" s="453"/>
      <c r="C109" s="4" t="s">
        <v>366</v>
      </c>
      <c r="D109" s="9">
        <v>8307</v>
      </c>
      <c r="E109" s="35"/>
      <c r="F109" s="37"/>
      <c r="G109" s="19">
        <f t="shared" si="4"/>
        <v>8307</v>
      </c>
      <c r="H109" s="4"/>
      <c r="I109" s="46"/>
    </row>
    <row r="110" spans="1:9" s="20" customFormat="1" ht="49.5" customHeight="1" hidden="1">
      <c r="A110" s="454" t="s">
        <v>23</v>
      </c>
      <c r="B110" s="453" t="s">
        <v>17</v>
      </c>
      <c r="C110" s="4" t="s">
        <v>392</v>
      </c>
      <c r="D110" s="17">
        <v>972100</v>
      </c>
      <c r="E110" s="4"/>
      <c r="F110" s="9"/>
      <c r="G110" s="19">
        <f t="shared" si="4"/>
        <v>972100</v>
      </c>
      <c r="H110" s="4"/>
      <c r="I110" s="46"/>
    </row>
    <row r="111" spans="1:9" s="20" customFormat="1" ht="47.25" hidden="1">
      <c r="A111" s="454"/>
      <c r="B111" s="453"/>
      <c r="C111" s="35" t="s">
        <v>264</v>
      </c>
      <c r="D111" s="37">
        <v>0</v>
      </c>
      <c r="E111" s="35" t="s">
        <v>264</v>
      </c>
      <c r="F111" s="37">
        <v>0</v>
      </c>
      <c r="G111" s="19">
        <f t="shared" si="4"/>
        <v>0</v>
      </c>
      <c r="H111" s="4"/>
      <c r="I111" s="46"/>
    </row>
    <row r="112" spans="1:9" s="20" customFormat="1" ht="48" customHeight="1" hidden="1">
      <c r="A112" s="454" t="s">
        <v>86</v>
      </c>
      <c r="B112" s="453" t="s">
        <v>93</v>
      </c>
      <c r="C112" s="4" t="s">
        <v>392</v>
      </c>
      <c r="D112" s="17">
        <v>7134400</v>
      </c>
      <c r="E112" s="4"/>
      <c r="F112" s="9"/>
      <c r="G112" s="19">
        <f>D112+F112</f>
        <v>7134400</v>
      </c>
      <c r="H112" s="4"/>
      <c r="I112" s="46"/>
    </row>
    <row r="113" spans="1:9" s="20" customFormat="1" ht="47.25" hidden="1">
      <c r="A113" s="454"/>
      <c r="B113" s="453"/>
      <c r="C113" s="35" t="s">
        <v>264</v>
      </c>
      <c r="D113" s="38">
        <v>0</v>
      </c>
      <c r="E113" s="35"/>
      <c r="F113" s="37"/>
      <c r="G113" s="19">
        <f t="shared" si="4"/>
        <v>0</v>
      </c>
      <c r="H113" s="4"/>
      <c r="I113" s="46"/>
    </row>
    <row r="114" spans="1:9" s="20" customFormat="1" ht="48" customHeight="1" hidden="1">
      <c r="A114" s="454" t="s">
        <v>84</v>
      </c>
      <c r="B114" s="453" t="s">
        <v>85</v>
      </c>
      <c r="C114" s="4"/>
      <c r="D114" s="17"/>
      <c r="E114" s="4" t="s">
        <v>269</v>
      </c>
      <c r="F114" s="12">
        <v>0</v>
      </c>
      <c r="G114" s="19">
        <f t="shared" si="4"/>
        <v>0</v>
      </c>
      <c r="H114" s="4"/>
      <c r="I114" s="46"/>
    </row>
    <row r="115" spans="1:9" s="20" customFormat="1" ht="45.75" customHeight="1" hidden="1">
      <c r="A115" s="454"/>
      <c r="B115" s="453"/>
      <c r="C115" s="4"/>
      <c r="D115" s="5"/>
      <c r="E115" s="4" t="s">
        <v>417</v>
      </c>
      <c r="F115" s="12">
        <v>4218281</v>
      </c>
      <c r="G115" s="19">
        <f t="shared" si="4"/>
        <v>4218281</v>
      </c>
      <c r="H115" s="4"/>
      <c r="I115" s="46"/>
    </row>
    <row r="116" spans="1:9" s="20" customFormat="1" ht="52.5" customHeight="1" hidden="1">
      <c r="A116" s="18" t="s">
        <v>33</v>
      </c>
      <c r="B116" s="453" t="s">
        <v>232</v>
      </c>
      <c r="C116" s="4" t="s">
        <v>132</v>
      </c>
      <c r="D116" s="17"/>
      <c r="E116" s="4"/>
      <c r="F116" s="16"/>
      <c r="G116" s="19">
        <f t="shared" si="4"/>
        <v>0</v>
      </c>
      <c r="H116" s="4"/>
      <c r="I116" s="46"/>
    </row>
    <row r="117" spans="1:9" s="20" customFormat="1" ht="53.25" customHeight="1" hidden="1">
      <c r="A117" s="454" t="s">
        <v>33</v>
      </c>
      <c r="B117" s="453"/>
      <c r="C117" s="4" t="s">
        <v>392</v>
      </c>
      <c r="D117" s="17">
        <v>174150</v>
      </c>
      <c r="E117" s="4"/>
      <c r="F117" s="16"/>
      <c r="G117" s="19">
        <f t="shared" si="4"/>
        <v>174150</v>
      </c>
      <c r="H117" s="4"/>
      <c r="I117" s="46"/>
    </row>
    <row r="118" spans="1:9" s="20" customFormat="1" ht="62.25" customHeight="1" hidden="1">
      <c r="A118" s="454"/>
      <c r="B118" s="453"/>
      <c r="C118" s="4" t="s">
        <v>228</v>
      </c>
      <c r="D118" s="17"/>
      <c r="E118" s="4"/>
      <c r="F118" s="16"/>
      <c r="G118" s="19">
        <f t="shared" si="4"/>
        <v>0</v>
      </c>
      <c r="H118" s="4"/>
      <c r="I118" s="46"/>
    </row>
    <row r="119" spans="1:9" s="20" customFormat="1" ht="57" customHeight="1" hidden="1">
      <c r="A119" s="18" t="s">
        <v>87</v>
      </c>
      <c r="B119" s="4" t="s">
        <v>233</v>
      </c>
      <c r="C119" s="4" t="s">
        <v>392</v>
      </c>
      <c r="D119" s="17">
        <v>500000</v>
      </c>
      <c r="E119" s="4"/>
      <c r="F119" s="16"/>
      <c r="G119" s="19">
        <f t="shared" si="4"/>
        <v>500000</v>
      </c>
      <c r="H119" s="4"/>
      <c r="I119" s="46"/>
    </row>
    <row r="120" spans="1:9" s="20" customFormat="1" ht="51" customHeight="1" hidden="1">
      <c r="A120" s="18" t="s">
        <v>117</v>
      </c>
      <c r="B120" s="4" t="s">
        <v>220</v>
      </c>
      <c r="C120" s="4" t="s">
        <v>392</v>
      </c>
      <c r="D120" s="17">
        <v>870750</v>
      </c>
      <c r="E120" s="4"/>
      <c r="F120" s="16"/>
      <c r="G120" s="19">
        <f t="shared" si="4"/>
        <v>870750</v>
      </c>
      <c r="H120" s="4"/>
      <c r="I120" s="46"/>
    </row>
    <row r="121" spans="1:9" s="20" customFormat="1" ht="68.25" customHeight="1" hidden="1">
      <c r="A121" s="22" t="s">
        <v>176</v>
      </c>
      <c r="B121" s="23" t="s">
        <v>180</v>
      </c>
      <c r="C121" s="4"/>
      <c r="D121" s="24">
        <v>0</v>
      </c>
      <c r="E121" s="4"/>
      <c r="F121" s="24">
        <v>0</v>
      </c>
      <c r="G121" s="24">
        <v>0</v>
      </c>
      <c r="H121" s="4"/>
      <c r="I121" s="46"/>
    </row>
    <row r="122" spans="1:9" s="20" customFormat="1" ht="31.5" hidden="1">
      <c r="A122" s="18" t="s">
        <v>165</v>
      </c>
      <c r="B122" s="4" t="s">
        <v>166</v>
      </c>
      <c r="C122" s="4" t="s">
        <v>177</v>
      </c>
      <c r="D122" s="17"/>
      <c r="E122" s="4" t="s">
        <v>177</v>
      </c>
      <c r="F122" s="12"/>
      <c r="G122" s="9">
        <v>0</v>
      </c>
      <c r="H122" s="4"/>
      <c r="I122" s="46"/>
    </row>
    <row r="123" spans="1:9" s="20" customFormat="1" ht="63" hidden="1">
      <c r="A123" s="22" t="s">
        <v>187</v>
      </c>
      <c r="B123" s="23" t="s">
        <v>188</v>
      </c>
      <c r="C123" s="4"/>
      <c r="D123" s="24">
        <f>D124</f>
        <v>0</v>
      </c>
      <c r="E123" s="4"/>
      <c r="F123" s="24">
        <f>F124</f>
        <v>7000</v>
      </c>
      <c r="G123" s="24">
        <f>D123+F123</f>
        <v>7000</v>
      </c>
      <c r="H123" s="4"/>
      <c r="I123" s="46"/>
    </row>
    <row r="124" spans="1:9" s="20" customFormat="1" ht="31.5" hidden="1">
      <c r="A124" s="18" t="s">
        <v>165</v>
      </c>
      <c r="B124" s="4" t="s">
        <v>166</v>
      </c>
      <c r="C124" s="4"/>
      <c r="D124" s="17"/>
      <c r="E124" s="4" t="s">
        <v>396</v>
      </c>
      <c r="F124" s="12">
        <v>7000</v>
      </c>
      <c r="G124" s="19">
        <f>D124+F124</f>
        <v>7000</v>
      </c>
      <c r="H124" s="4"/>
      <c r="I124" s="46"/>
    </row>
    <row r="125" spans="1:9" s="20" customFormat="1" ht="35.25" customHeight="1">
      <c r="A125" s="22" t="s">
        <v>148</v>
      </c>
      <c r="B125" s="23" t="s">
        <v>54</v>
      </c>
      <c r="C125" s="4"/>
      <c r="D125" s="24">
        <f>D127+D129+D130+D131+D132+D133+D135+D137+D138+D140+D141+D142+D128+D134+D143+D139+D136</f>
        <v>8363013</v>
      </c>
      <c r="E125" s="5"/>
      <c r="F125" s="24">
        <f>F127+F129+F130+F132+F133+F135+F140+F141+F144+F145+F137</f>
        <v>4246260</v>
      </c>
      <c r="G125" s="28">
        <f>D125+F125</f>
        <v>12609273</v>
      </c>
      <c r="H125" s="71"/>
      <c r="I125" s="46"/>
    </row>
    <row r="126" spans="1:9" s="20" customFormat="1" ht="31.5" hidden="1">
      <c r="A126" s="18" t="s">
        <v>165</v>
      </c>
      <c r="B126" s="4" t="s">
        <v>166</v>
      </c>
      <c r="C126" s="4" t="s">
        <v>179</v>
      </c>
      <c r="D126" s="17"/>
      <c r="E126" s="4"/>
      <c r="F126" s="19"/>
      <c r="G126" s="16">
        <v>0</v>
      </c>
      <c r="H126" s="4"/>
      <c r="I126" s="46"/>
    </row>
    <row r="127" spans="1:9" s="20" customFormat="1" ht="54" customHeight="1">
      <c r="A127" s="454" t="s">
        <v>159</v>
      </c>
      <c r="B127" s="453" t="s">
        <v>160</v>
      </c>
      <c r="C127" s="4" t="s">
        <v>6</v>
      </c>
      <c r="D127" s="17">
        <v>599140</v>
      </c>
      <c r="E127" s="4" t="s">
        <v>6</v>
      </c>
      <c r="F127" s="19">
        <v>1321</v>
      </c>
      <c r="G127" s="12">
        <f>D127+F127</f>
        <v>600461</v>
      </c>
      <c r="H127" s="71">
        <v>0</v>
      </c>
      <c r="I127" s="46"/>
    </row>
    <row r="128" spans="1:9" s="20" customFormat="1" ht="65.25" customHeight="1" hidden="1">
      <c r="A128" s="454"/>
      <c r="B128" s="453"/>
      <c r="C128" s="4" t="s">
        <v>366</v>
      </c>
      <c r="D128" s="17">
        <v>279</v>
      </c>
      <c r="E128" s="4"/>
      <c r="F128" s="19"/>
      <c r="G128" s="12">
        <f aca="true" t="shared" si="5" ref="G128:G144">D128+F128</f>
        <v>279</v>
      </c>
      <c r="H128" s="4"/>
      <c r="I128" s="46"/>
    </row>
    <row r="129" spans="1:9" s="20" customFormat="1" ht="54" customHeight="1">
      <c r="A129" s="454" t="s">
        <v>161</v>
      </c>
      <c r="B129" s="453" t="s">
        <v>162</v>
      </c>
      <c r="C129" s="4" t="s">
        <v>6</v>
      </c>
      <c r="D129" s="17">
        <v>2188093</v>
      </c>
      <c r="E129" s="4" t="s">
        <v>6</v>
      </c>
      <c r="F129" s="19">
        <v>207061</v>
      </c>
      <c r="G129" s="12">
        <f t="shared" si="5"/>
        <v>2395154</v>
      </c>
      <c r="H129" s="71">
        <v>0</v>
      </c>
      <c r="I129" s="46"/>
    </row>
    <row r="130" spans="1:9" s="20" customFormat="1" ht="47.25" hidden="1">
      <c r="A130" s="454"/>
      <c r="B130" s="453"/>
      <c r="C130" s="35" t="s">
        <v>7</v>
      </c>
      <c r="D130" s="36">
        <v>500</v>
      </c>
      <c r="E130" s="35" t="s">
        <v>7</v>
      </c>
      <c r="F130" s="36">
        <v>59018</v>
      </c>
      <c r="G130" s="12">
        <f t="shared" si="5"/>
        <v>59518</v>
      </c>
      <c r="H130" s="4"/>
      <c r="I130" s="46"/>
    </row>
    <row r="131" spans="1:9" s="20" customFormat="1" ht="66.75" customHeight="1" hidden="1">
      <c r="A131" s="454"/>
      <c r="B131" s="453"/>
      <c r="C131" s="4" t="s">
        <v>366</v>
      </c>
      <c r="D131" s="19">
        <v>2511</v>
      </c>
      <c r="E131" s="35"/>
      <c r="F131" s="36"/>
      <c r="G131" s="12">
        <f t="shared" si="5"/>
        <v>2511</v>
      </c>
      <c r="H131" s="4"/>
      <c r="I131" s="46"/>
    </row>
    <row r="132" spans="1:9" s="20" customFormat="1" ht="54" customHeight="1">
      <c r="A132" s="458" t="s">
        <v>169</v>
      </c>
      <c r="B132" s="456" t="s">
        <v>170</v>
      </c>
      <c r="C132" s="4" t="s">
        <v>6</v>
      </c>
      <c r="D132" s="17">
        <v>1255924</v>
      </c>
      <c r="E132" s="4" t="s">
        <v>6</v>
      </c>
      <c r="F132" s="19">
        <v>1931965</v>
      </c>
      <c r="G132" s="12">
        <f t="shared" si="5"/>
        <v>3187889</v>
      </c>
      <c r="H132" s="73">
        <f>149214+58070+7900+19790+167074+132486</f>
        <v>534534</v>
      </c>
      <c r="I132" s="72"/>
    </row>
    <row r="133" spans="1:9" s="20" customFormat="1" ht="47.25" hidden="1">
      <c r="A133" s="460"/>
      <c r="B133" s="461"/>
      <c r="C133" s="35" t="s">
        <v>7</v>
      </c>
      <c r="D133" s="36">
        <v>0</v>
      </c>
      <c r="E133" s="35" t="s">
        <v>7</v>
      </c>
      <c r="F133" s="36">
        <v>4920</v>
      </c>
      <c r="G133" s="12">
        <f t="shared" si="5"/>
        <v>4920</v>
      </c>
      <c r="H133" s="4"/>
      <c r="I133" s="46"/>
    </row>
    <row r="134" spans="1:9" s="20" customFormat="1" ht="63" hidden="1">
      <c r="A134" s="459"/>
      <c r="B134" s="457"/>
      <c r="C134" s="4" t="s">
        <v>366</v>
      </c>
      <c r="D134" s="19">
        <v>5829</v>
      </c>
      <c r="E134" s="35"/>
      <c r="F134" s="36"/>
      <c r="G134" s="12">
        <f>D134+F134</f>
        <v>5829</v>
      </c>
      <c r="H134" s="4"/>
      <c r="I134" s="46"/>
    </row>
    <row r="135" spans="1:9" s="20" customFormat="1" ht="51" customHeight="1">
      <c r="A135" s="454" t="s">
        <v>167</v>
      </c>
      <c r="B135" s="453" t="s">
        <v>168</v>
      </c>
      <c r="C135" s="4" t="s">
        <v>6</v>
      </c>
      <c r="D135" s="17">
        <v>536069</v>
      </c>
      <c r="E135" s="4" t="s">
        <v>6</v>
      </c>
      <c r="F135" s="19">
        <v>1820736</v>
      </c>
      <c r="G135" s="12">
        <f t="shared" si="5"/>
        <v>2356805</v>
      </c>
      <c r="H135" s="71">
        <v>321482</v>
      </c>
      <c r="I135" s="46"/>
    </row>
    <row r="136" spans="1:9" s="20" customFormat="1" ht="63" hidden="1">
      <c r="A136" s="454"/>
      <c r="B136" s="453"/>
      <c r="C136" s="4" t="s">
        <v>366</v>
      </c>
      <c r="D136" s="17">
        <v>2232</v>
      </c>
      <c r="E136" s="35"/>
      <c r="F136" s="36"/>
      <c r="G136" s="12">
        <f t="shared" si="5"/>
        <v>2232</v>
      </c>
      <c r="H136" s="4"/>
      <c r="I136" s="46"/>
    </row>
    <row r="137" spans="1:9" s="20" customFormat="1" ht="66" customHeight="1" hidden="1">
      <c r="A137" s="454"/>
      <c r="B137" s="453"/>
      <c r="C137" s="4"/>
      <c r="D137" s="17"/>
      <c r="E137" s="35" t="s">
        <v>7</v>
      </c>
      <c r="F137" s="36">
        <v>3000</v>
      </c>
      <c r="G137" s="12">
        <f t="shared" si="5"/>
        <v>3000</v>
      </c>
      <c r="H137" s="4"/>
      <c r="I137" s="46"/>
    </row>
    <row r="138" spans="1:9" s="20" customFormat="1" ht="47.25" hidden="1">
      <c r="A138" s="462">
        <v>110300</v>
      </c>
      <c r="B138" s="456" t="s">
        <v>30</v>
      </c>
      <c r="C138" s="4" t="s">
        <v>8</v>
      </c>
      <c r="D138" s="21">
        <v>1114809</v>
      </c>
      <c r="E138" s="4"/>
      <c r="F138" s="36"/>
      <c r="G138" s="12">
        <f t="shared" si="5"/>
        <v>1114809</v>
      </c>
      <c r="H138" s="4"/>
      <c r="I138" s="46"/>
    </row>
    <row r="139" spans="1:9" s="20" customFormat="1" ht="63" hidden="1">
      <c r="A139" s="463"/>
      <c r="B139" s="457"/>
      <c r="C139" s="4" t="s">
        <v>366</v>
      </c>
      <c r="D139" s="21">
        <v>13116</v>
      </c>
      <c r="E139" s="4"/>
      <c r="F139" s="36"/>
      <c r="G139" s="12">
        <f t="shared" si="5"/>
        <v>13116</v>
      </c>
      <c r="H139" s="4"/>
      <c r="I139" s="46"/>
    </row>
    <row r="140" spans="1:9" s="20" customFormat="1" ht="31.5">
      <c r="A140" s="452">
        <v>110502</v>
      </c>
      <c r="B140" s="453" t="s">
        <v>18</v>
      </c>
      <c r="C140" s="4" t="s">
        <v>3</v>
      </c>
      <c r="D140" s="15">
        <v>1693819</v>
      </c>
      <c r="E140" s="4" t="s">
        <v>418</v>
      </c>
      <c r="F140" s="16">
        <v>42020</v>
      </c>
      <c r="G140" s="12">
        <f t="shared" si="5"/>
        <v>1735839</v>
      </c>
      <c r="H140" s="71"/>
      <c r="I140" s="46"/>
    </row>
    <row r="141" spans="1:9" s="20" customFormat="1" ht="51" customHeight="1">
      <c r="A141" s="452"/>
      <c r="B141" s="453"/>
      <c r="C141" s="4" t="s">
        <v>6</v>
      </c>
      <c r="D141" s="15">
        <v>925412</v>
      </c>
      <c r="E141" s="4" t="s">
        <v>6</v>
      </c>
      <c r="F141" s="12">
        <v>39696</v>
      </c>
      <c r="G141" s="12">
        <f t="shared" si="5"/>
        <v>965108</v>
      </c>
      <c r="H141" s="4"/>
      <c r="I141" s="46"/>
    </row>
    <row r="142" spans="1:9" s="20" customFormat="1" ht="55.5" customHeight="1" hidden="1">
      <c r="A142" s="452"/>
      <c r="B142" s="453"/>
      <c r="C142" s="4" t="s">
        <v>2</v>
      </c>
      <c r="D142" s="15">
        <v>20000</v>
      </c>
      <c r="E142" s="35"/>
      <c r="F142" s="16"/>
      <c r="G142" s="12">
        <f t="shared" si="5"/>
        <v>20000</v>
      </c>
      <c r="H142" s="4"/>
      <c r="I142" s="46"/>
    </row>
    <row r="143" spans="1:9" s="20" customFormat="1" ht="68.25" customHeight="1" hidden="1">
      <c r="A143" s="452"/>
      <c r="B143" s="453"/>
      <c r="C143" s="4" t="s">
        <v>366</v>
      </c>
      <c r="D143" s="15">
        <v>5280</v>
      </c>
      <c r="E143" s="4"/>
      <c r="F143" s="16"/>
      <c r="G143" s="12">
        <f t="shared" si="5"/>
        <v>5280</v>
      </c>
      <c r="H143" s="4"/>
      <c r="I143" s="46"/>
    </row>
    <row r="144" spans="1:9" s="20" customFormat="1" ht="47.25" hidden="1">
      <c r="A144" s="452"/>
      <c r="B144" s="453"/>
      <c r="C144" s="4"/>
      <c r="D144" s="15"/>
      <c r="E144" s="35" t="s">
        <v>264</v>
      </c>
      <c r="F144" s="36"/>
      <c r="G144" s="12">
        <f t="shared" si="5"/>
        <v>0</v>
      </c>
      <c r="H144" s="4"/>
      <c r="I144" s="46"/>
    </row>
    <row r="145" spans="1:9" s="20" customFormat="1" ht="47.25" hidden="1">
      <c r="A145" s="18" t="s">
        <v>84</v>
      </c>
      <c r="B145" s="4" t="s">
        <v>85</v>
      </c>
      <c r="C145" s="4"/>
      <c r="D145" s="5"/>
      <c r="E145" s="4" t="s">
        <v>6</v>
      </c>
      <c r="F145" s="19">
        <v>136523</v>
      </c>
      <c r="G145" s="12">
        <f>D145+F145</f>
        <v>136523</v>
      </c>
      <c r="H145" s="71"/>
      <c r="I145" s="46"/>
    </row>
    <row r="146" spans="1:9" s="20" customFormat="1" ht="47.25" hidden="1">
      <c r="A146" s="22" t="s">
        <v>294</v>
      </c>
      <c r="B146" s="23" t="s">
        <v>295</v>
      </c>
      <c r="C146" s="4"/>
      <c r="D146" s="24">
        <v>0</v>
      </c>
      <c r="E146" s="5"/>
      <c r="F146" s="28">
        <v>0</v>
      </c>
      <c r="G146" s="27">
        <v>0</v>
      </c>
      <c r="H146" s="71"/>
      <c r="I146" s="46"/>
    </row>
    <row r="147" spans="1:9" s="20" customFormat="1" ht="47.25" hidden="1">
      <c r="A147" s="18" t="s">
        <v>165</v>
      </c>
      <c r="B147" s="4" t="s">
        <v>166</v>
      </c>
      <c r="C147" s="4"/>
      <c r="D147" s="5"/>
      <c r="E147" s="55" t="s">
        <v>267</v>
      </c>
      <c r="F147" s="56">
        <v>0</v>
      </c>
      <c r="G147" s="9">
        <v>0</v>
      </c>
      <c r="H147" s="71"/>
      <c r="I147" s="46"/>
    </row>
    <row r="148" spans="1:9" s="20" customFormat="1" ht="54" customHeight="1" hidden="1">
      <c r="A148" s="22" t="s">
        <v>147</v>
      </c>
      <c r="B148" s="23" t="s">
        <v>173</v>
      </c>
      <c r="C148" s="4"/>
      <c r="D148" s="24">
        <f>D149+D150+D151+D152</f>
        <v>228711</v>
      </c>
      <c r="E148" s="5"/>
      <c r="F148" s="28">
        <f>F149+F150</f>
        <v>1000201</v>
      </c>
      <c r="G148" s="28">
        <f aca="true" t="shared" si="6" ref="G148:G178">D148+F148</f>
        <v>1228912</v>
      </c>
      <c r="H148" s="71"/>
      <c r="I148" s="46"/>
    </row>
    <row r="149" spans="1:9" s="20" customFormat="1" ht="31.5" hidden="1">
      <c r="A149" s="18" t="s">
        <v>165</v>
      </c>
      <c r="B149" s="4" t="s">
        <v>166</v>
      </c>
      <c r="C149" s="4"/>
      <c r="D149" s="17"/>
      <c r="E149" s="4" t="s">
        <v>396</v>
      </c>
      <c r="F149" s="19">
        <v>14000</v>
      </c>
      <c r="G149" s="19">
        <f t="shared" si="6"/>
        <v>14000</v>
      </c>
      <c r="H149" s="4"/>
      <c r="I149" s="46"/>
    </row>
    <row r="150" spans="1:9" s="20" customFormat="1" ht="47.25" hidden="1">
      <c r="A150" s="18" t="s">
        <v>84</v>
      </c>
      <c r="B150" s="4" t="s">
        <v>85</v>
      </c>
      <c r="C150" s="4"/>
      <c r="D150" s="5"/>
      <c r="E150" s="4" t="s">
        <v>393</v>
      </c>
      <c r="F150" s="19">
        <v>986201</v>
      </c>
      <c r="G150" s="19">
        <f t="shared" si="6"/>
        <v>986201</v>
      </c>
      <c r="H150" s="4"/>
      <c r="I150" s="46"/>
    </row>
    <row r="151" spans="1:9" s="20" customFormat="1" ht="66" customHeight="1" hidden="1">
      <c r="A151" s="18" t="s">
        <v>77</v>
      </c>
      <c r="B151" s="4" t="s">
        <v>92</v>
      </c>
      <c r="C151" s="4" t="s">
        <v>339</v>
      </c>
      <c r="D151" s="17">
        <v>120711</v>
      </c>
      <c r="E151" s="4"/>
      <c r="F151" s="9"/>
      <c r="G151" s="19">
        <f t="shared" si="6"/>
        <v>120711</v>
      </c>
      <c r="H151" s="4"/>
      <c r="I151" s="46"/>
    </row>
    <row r="152" spans="1:9" s="20" customFormat="1" ht="47.25" hidden="1">
      <c r="A152" s="18" t="s">
        <v>102</v>
      </c>
      <c r="B152" s="4" t="s">
        <v>218</v>
      </c>
      <c r="C152" s="4" t="s">
        <v>331</v>
      </c>
      <c r="D152" s="17">
        <v>108000</v>
      </c>
      <c r="E152" s="4"/>
      <c r="F152" s="9"/>
      <c r="G152" s="19">
        <f t="shared" si="6"/>
        <v>108000</v>
      </c>
      <c r="H152" s="4"/>
      <c r="I152" s="46"/>
    </row>
    <row r="153" spans="1:9" s="20" customFormat="1" ht="47.25" hidden="1">
      <c r="A153" s="22" t="s">
        <v>182</v>
      </c>
      <c r="B153" s="23" t="s">
        <v>183</v>
      </c>
      <c r="C153" s="4"/>
      <c r="D153" s="24">
        <f>D154</f>
        <v>0</v>
      </c>
      <c r="E153" s="5"/>
      <c r="F153" s="24">
        <f>F154</f>
        <v>0</v>
      </c>
      <c r="G153" s="24">
        <f t="shared" si="6"/>
        <v>0</v>
      </c>
      <c r="H153" s="71"/>
      <c r="I153" s="46"/>
    </row>
    <row r="154" spans="1:9" s="20" customFormat="1" ht="48.75" customHeight="1" hidden="1">
      <c r="A154" s="18" t="s">
        <v>165</v>
      </c>
      <c r="B154" s="4" t="s">
        <v>166</v>
      </c>
      <c r="C154" s="4"/>
      <c r="D154" s="17"/>
      <c r="E154" s="4"/>
      <c r="F154" s="19">
        <v>0</v>
      </c>
      <c r="G154" s="24">
        <f t="shared" si="6"/>
        <v>0</v>
      </c>
      <c r="H154" s="4"/>
      <c r="I154" s="46"/>
    </row>
    <row r="155" spans="1:9" s="20" customFormat="1" ht="45.75" customHeight="1" hidden="1">
      <c r="A155" s="22" t="s">
        <v>145</v>
      </c>
      <c r="B155" s="23" t="s">
        <v>225</v>
      </c>
      <c r="C155" s="4"/>
      <c r="D155" s="24">
        <f>D157+D158+D159+D160+D166+D167+D179+D180+D164</f>
        <v>99545109</v>
      </c>
      <c r="E155" s="5"/>
      <c r="F155" s="28">
        <f>F156+F157+F158+F159+F160+F161+F163+F165+F166+F167+F169+F170+F172+F173+F174+F176+F177+F178+F179+F180+F164</f>
        <v>111898725</v>
      </c>
      <c r="G155" s="28">
        <f t="shared" si="6"/>
        <v>211443834</v>
      </c>
      <c r="H155" s="71"/>
      <c r="I155" s="46"/>
    </row>
    <row r="156" spans="1:9" s="20" customFormat="1" ht="45.75" customHeight="1" hidden="1">
      <c r="A156" s="454" t="s">
        <v>165</v>
      </c>
      <c r="B156" s="453" t="s">
        <v>166</v>
      </c>
      <c r="C156" s="4"/>
      <c r="D156" s="24"/>
      <c r="E156" s="4" t="s">
        <v>396</v>
      </c>
      <c r="F156" s="19">
        <v>35000</v>
      </c>
      <c r="G156" s="19">
        <f t="shared" si="6"/>
        <v>35000</v>
      </c>
      <c r="H156" s="71"/>
      <c r="I156" s="46"/>
    </row>
    <row r="157" spans="1:9" s="20" customFormat="1" ht="61.5" customHeight="1" hidden="1">
      <c r="A157" s="454"/>
      <c r="B157" s="453"/>
      <c r="C157" s="4" t="s">
        <v>366</v>
      </c>
      <c r="D157" s="17">
        <v>746</v>
      </c>
      <c r="E157" s="4"/>
      <c r="F157" s="19"/>
      <c r="G157" s="19">
        <f t="shared" si="6"/>
        <v>746</v>
      </c>
      <c r="H157" s="4"/>
      <c r="I157" s="46"/>
    </row>
    <row r="158" spans="1:9" s="20" customFormat="1" ht="47.25" hidden="1">
      <c r="A158" s="18" t="s">
        <v>86</v>
      </c>
      <c r="B158" s="4" t="s">
        <v>93</v>
      </c>
      <c r="C158" s="4" t="s">
        <v>419</v>
      </c>
      <c r="D158" s="17">
        <v>131000</v>
      </c>
      <c r="E158" s="4"/>
      <c r="F158" s="9"/>
      <c r="G158" s="19">
        <f t="shared" si="6"/>
        <v>131000</v>
      </c>
      <c r="H158" s="4"/>
      <c r="I158" s="46"/>
    </row>
    <row r="159" spans="1:9" s="20" customFormat="1" ht="47.25" hidden="1">
      <c r="A159" s="454" t="s">
        <v>216</v>
      </c>
      <c r="B159" s="453" t="s">
        <v>217</v>
      </c>
      <c r="C159" s="4" t="s">
        <v>419</v>
      </c>
      <c r="D159" s="17">
        <v>10566800</v>
      </c>
      <c r="E159" s="4"/>
      <c r="F159" s="9"/>
      <c r="G159" s="19">
        <f t="shared" si="6"/>
        <v>10566800</v>
      </c>
      <c r="H159" s="4"/>
      <c r="I159" s="46"/>
    </row>
    <row r="160" spans="1:9" s="20" customFormat="1" ht="47.25" hidden="1">
      <c r="A160" s="454"/>
      <c r="B160" s="453"/>
      <c r="C160" s="35" t="s">
        <v>7</v>
      </c>
      <c r="D160" s="37">
        <v>64035</v>
      </c>
      <c r="E160" s="4"/>
      <c r="F160" s="9"/>
      <c r="G160" s="19">
        <f t="shared" si="6"/>
        <v>64035</v>
      </c>
      <c r="H160" s="4"/>
      <c r="I160" s="46"/>
    </row>
    <row r="161" spans="1:9" s="20" customFormat="1" ht="47.25" hidden="1">
      <c r="A161" s="454" t="s">
        <v>114</v>
      </c>
      <c r="B161" s="453" t="s">
        <v>115</v>
      </c>
      <c r="C161" s="4"/>
      <c r="D161" s="17"/>
      <c r="E161" s="4" t="s">
        <v>420</v>
      </c>
      <c r="F161" s="19">
        <v>33149648</v>
      </c>
      <c r="G161" s="19">
        <f t="shared" si="6"/>
        <v>33149648</v>
      </c>
      <c r="H161" s="4"/>
      <c r="I161" s="46"/>
    </row>
    <row r="162" spans="1:9" s="20" customFormat="1" ht="47.25" customHeight="1" hidden="1">
      <c r="A162" s="454"/>
      <c r="B162" s="453"/>
      <c r="C162" s="4" t="s">
        <v>270</v>
      </c>
      <c r="D162" s="17">
        <v>0</v>
      </c>
      <c r="E162" s="4" t="s">
        <v>270</v>
      </c>
      <c r="F162" s="9"/>
      <c r="G162" s="19">
        <f t="shared" si="6"/>
        <v>0</v>
      </c>
      <c r="H162" s="4"/>
      <c r="I162" s="46"/>
    </row>
    <row r="163" spans="1:9" s="20" customFormat="1" ht="47.25" hidden="1">
      <c r="A163" s="454"/>
      <c r="B163" s="453"/>
      <c r="C163" s="4"/>
      <c r="D163" s="17"/>
      <c r="E163" s="35" t="s">
        <v>7</v>
      </c>
      <c r="F163" s="37">
        <v>66475</v>
      </c>
      <c r="G163" s="19">
        <f t="shared" si="6"/>
        <v>66475</v>
      </c>
      <c r="H163" s="4"/>
      <c r="I163" s="46"/>
    </row>
    <row r="164" spans="1:9" s="20" customFormat="1" ht="47.25" hidden="1">
      <c r="A164" s="18" t="s">
        <v>401</v>
      </c>
      <c r="B164" s="4" t="s">
        <v>402</v>
      </c>
      <c r="C164" s="4" t="s">
        <v>421</v>
      </c>
      <c r="D164" s="17">
        <v>449300</v>
      </c>
      <c r="E164" s="35"/>
      <c r="F164" s="37"/>
      <c r="G164" s="19">
        <f>D164+F164</f>
        <v>449300</v>
      </c>
      <c r="H164" s="4"/>
      <c r="I164" s="46"/>
    </row>
    <row r="165" spans="1:9" s="20" customFormat="1" ht="56.25" customHeight="1" hidden="1">
      <c r="A165" s="18" t="s">
        <v>260</v>
      </c>
      <c r="B165" s="4" t="s">
        <v>261</v>
      </c>
      <c r="C165" s="4"/>
      <c r="D165" s="17"/>
      <c r="E165" s="4" t="s">
        <v>421</v>
      </c>
      <c r="F165" s="19">
        <v>780803</v>
      </c>
      <c r="G165" s="19">
        <f t="shared" si="6"/>
        <v>780803</v>
      </c>
      <c r="H165" s="4"/>
      <c r="I165" s="46"/>
    </row>
    <row r="166" spans="1:9" s="20" customFormat="1" ht="51.75" customHeight="1" hidden="1">
      <c r="A166" s="454" t="s">
        <v>94</v>
      </c>
      <c r="B166" s="453" t="s">
        <v>116</v>
      </c>
      <c r="C166" s="4" t="s">
        <v>423</v>
      </c>
      <c r="D166" s="17">
        <v>82050000</v>
      </c>
      <c r="E166" s="4" t="s">
        <v>422</v>
      </c>
      <c r="F166" s="19">
        <v>672751</v>
      </c>
      <c r="G166" s="19">
        <f t="shared" si="6"/>
        <v>82722751</v>
      </c>
      <c r="H166" s="4"/>
      <c r="I166" s="46"/>
    </row>
    <row r="167" spans="1:9" s="20" customFormat="1" ht="47.25" hidden="1">
      <c r="A167" s="454"/>
      <c r="B167" s="453"/>
      <c r="C167" s="35" t="s">
        <v>7</v>
      </c>
      <c r="D167" s="37">
        <v>0</v>
      </c>
      <c r="E167" s="35" t="s">
        <v>7</v>
      </c>
      <c r="F167" s="37">
        <v>30000</v>
      </c>
      <c r="G167" s="19">
        <f t="shared" si="6"/>
        <v>30000</v>
      </c>
      <c r="H167" s="4"/>
      <c r="I167" s="46"/>
    </row>
    <row r="168" spans="1:9" s="20" customFormat="1" ht="47.25" hidden="1">
      <c r="A168" s="18" t="s">
        <v>287</v>
      </c>
      <c r="B168" s="4" t="s">
        <v>288</v>
      </c>
      <c r="C168" s="35"/>
      <c r="D168" s="37"/>
      <c r="E168" s="4" t="s">
        <v>270</v>
      </c>
      <c r="F168" s="36">
        <v>0</v>
      </c>
      <c r="G168" s="19">
        <f t="shared" si="6"/>
        <v>0</v>
      </c>
      <c r="H168" s="4"/>
      <c r="I168" s="46"/>
    </row>
    <row r="169" spans="1:9" s="20" customFormat="1" ht="51" customHeight="1" hidden="1">
      <c r="A169" s="454" t="s">
        <v>84</v>
      </c>
      <c r="B169" s="453" t="s">
        <v>85</v>
      </c>
      <c r="C169" s="4"/>
      <c r="D169" s="5"/>
      <c r="E169" s="4" t="s">
        <v>424</v>
      </c>
      <c r="F169" s="12">
        <v>31435500</v>
      </c>
      <c r="G169" s="19">
        <f t="shared" si="6"/>
        <v>31435500</v>
      </c>
      <c r="H169" s="4"/>
      <c r="I169" s="46"/>
    </row>
    <row r="170" spans="1:9" s="20" customFormat="1" ht="47.25" hidden="1">
      <c r="A170" s="454"/>
      <c r="B170" s="453"/>
      <c r="C170" s="4"/>
      <c r="D170" s="5"/>
      <c r="E170" s="35" t="s">
        <v>7</v>
      </c>
      <c r="F170" s="37">
        <v>17235</v>
      </c>
      <c r="G170" s="19">
        <f t="shared" si="6"/>
        <v>17235</v>
      </c>
      <c r="H170" s="4"/>
      <c r="I170" s="46"/>
    </row>
    <row r="171" spans="1:9" s="51" customFormat="1" ht="46.5" customHeight="1" hidden="1">
      <c r="A171" s="458" t="s">
        <v>39</v>
      </c>
      <c r="B171" s="456" t="s">
        <v>204</v>
      </c>
      <c r="C171" s="4"/>
      <c r="D171" s="5"/>
      <c r="E171" s="4" t="s">
        <v>270</v>
      </c>
      <c r="F171" s="19">
        <v>0</v>
      </c>
      <c r="G171" s="19">
        <f t="shared" si="6"/>
        <v>0</v>
      </c>
      <c r="H171" s="4"/>
      <c r="I171" s="52"/>
    </row>
    <row r="172" spans="1:9" s="51" customFormat="1" ht="69.75" customHeight="1" hidden="1">
      <c r="A172" s="460"/>
      <c r="B172" s="461"/>
      <c r="C172" s="4"/>
      <c r="D172" s="5"/>
      <c r="E172" s="4" t="s">
        <v>425</v>
      </c>
      <c r="F172" s="19">
        <v>1529939</v>
      </c>
      <c r="G172" s="19">
        <f t="shared" si="6"/>
        <v>1529939</v>
      </c>
      <c r="H172" s="4"/>
      <c r="I172" s="52"/>
    </row>
    <row r="173" spans="1:9" s="51" customFormat="1" ht="87" customHeight="1" hidden="1">
      <c r="A173" s="459"/>
      <c r="B173" s="457"/>
      <c r="C173" s="4"/>
      <c r="D173" s="5"/>
      <c r="E173" s="4" t="s">
        <v>403</v>
      </c>
      <c r="F173" s="19">
        <v>187691</v>
      </c>
      <c r="G173" s="19">
        <f t="shared" si="6"/>
        <v>187691</v>
      </c>
      <c r="H173" s="4"/>
      <c r="I173" s="52"/>
    </row>
    <row r="174" spans="1:9" s="20" customFormat="1" ht="69.75" customHeight="1" hidden="1">
      <c r="A174" s="18" t="s">
        <v>96</v>
      </c>
      <c r="B174" s="4" t="s">
        <v>97</v>
      </c>
      <c r="C174" s="4"/>
      <c r="D174" s="5"/>
      <c r="E174" s="4" t="s">
        <v>400</v>
      </c>
      <c r="F174" s="19">
        <v>31540500</v>
      </c>
      <c r="G174" s="19">
        <f t="shared" si="6"/>
        <v>31540500</v>
      </c>
      <c r="H174" s="4"/>
      <c r="I174" s="46"/>
    </row>
    <row r="175" spans="1:9" s="20" customFormat="1" ht="27.75" customHeight="1" hidden="1">
      <c r="A175" s="4">
        <v>180107</v>
      </c>
      <c r="B175" s="4" t="s">
        <v>213</v>
      </c>
      <c r="C175" s="4"/>
      <c r="D175" s="17"/>
      <c r="E175" s="4" t="s">
        <v>231</v>
      </c>
      <c r="F175" s="19">
        <v>0</v>
      </c>
      <c r="G175" s="19">
        <f t="shared" si="6"/>
        <v>0</v>
      </c>
      <c r="H175" s="4"/>
      <c r="I175" s="46"/>
    </row>
    <row r="176" spans="1:9" s="20" customFormat="1" ht="63" customHeight="1" hidden="1">
      <c r="A176" s="453">
        <v>180409</v>
      </c>
      <c r="B176" s="453" t="s">
        <v>224</v>
      </c>
      <c r="C176" s="4"/>
      <c r="D176" s="17"/>
      <c r="E176" s="4" t="s">
        <v>426</v>
      </c>
      <c r="F176" s="19">
        <v>6226733</v>
      </c>
      <c r="G176" s="19">
        <f t="shared" si="6"/>
        <v>6226733</v>
      </c>
      <c r="H176" s="4"/>
      <c r="I176" s="46"/>
    </row>
    <row r="177" spans="1:9" s="20" customFormat="1" ht="63" hidden="1">
      <c r="A177" s="453"/>
      <c r="B177" s="453"/>
      <c r="C177" s="4"/>
      <c r="D177" s="17"/>
      <c r="E177" s="4" t="s">
        <v>394</v>
      </c>
      <c r="F177" s="19">
        <v>2688100</v>
      </c>
      <c r="G177" s="19">
        <f t="shared" si="6"/>
        <v>2688100</v>
      </c>
      <c r="H177" s="4"/>
      <c r="I177" s="46"/>
    </row>
    <row r="178" spans="1:9" s="20" customFormat="1" ht="31.5" hidden="1">
      <c r="A178" s="18" t="s">
        <v>29</v>
      </c>
      <c r="B178" s="4" t="s">
        <v>106</v>
      </c>
      <c r="C178" s="4"/>
      <c r="D178" s="5"/>
      <c r="E178" s="4" t="s">
        <v>348</v>
      </c>
      <c r="F178" s="19">
        <v>2250578</v>
      </c>
      <c r="G178" s="19">
        <f t="shared" si="6"/>
        <v>2250578</v>
      </c>
      <c r="H178" s="4"/>
      <c r="I178" s="46"/>
    </row>
    <row r="179" spans="1:9" s="20" customFormat="1" ht="39.75" customHeight="1" hidden="1">
      <c r="A179" s="458" t="s">
        <v>77</v>
      </c>
      <c r="B179" s="456" t="s">
        <v>92</v>
      </c>
      <c r="C179" s="4" t="s">
        <v>427</v>
      </c>
      <c r="D179" s="17">
        <v>5627420</v>
      </c>
      <c r="E179" s="4" t="s">
        <v>427</v>
      </c>
      <c r="F179" s="12">
        <v>1287772</v>
      </c>
      <c r="G179" s="19">
        <f>D179+F179</f>
        <v>6915192</v>
      </c>
      <c r="H179" s="4"/>
      <c r="I179" s="46"/>
    </row>
    <row r="180" spans="1:9" s="20" customFormat="1" ht="45.75" customHeight="1" hidden="1">
      <c r="A180" s="459"/>
      <c r="B180" s="457"/>
      <c r="C180" s="4" t="s">
        <v>340</v>
      </c>
      <c r="D180" s="17">
        <v>655808</v>
      </c>
      <c r="E180" s="4"/>
      <c r="F180" s="12"/>
      <c r="G180" s="19">
        <f>D180+F180</f>
        <v>655808</v>
      </c>
      <c r="H180" s="4"/>
      <c r="I180" s="46"/>
    </row>
    <row r="181" spans="1:9" s="20" customFormat="1" ht="38.25" hidden="1">
      <c r="A181" s="18" t="s">
        <v>39</v>
      </c>
      <c r="B181" s="29" t="s">
        <v>204</v>
      </c>
      <c r="C181" s="4"/>
      <c r="D181" s="5"/>
      <c r="E181" s="4" t="s">
        <v>209</v>
      </c>
      <c r="F181" s="12">
        <v>0</v>
      </c>
      <c r="G181" s="9">
        <v>0</v>
      </c>
      <c r="H181" s="4"/>
      <c r="I181" s="46"/>
    </row>
    <row r="182" spans="1:9" s="20" customFormat="1" ht="70.5" customHeight="1" hidden="1">
      <c r="A182" s="22" t="s">
        <v>223</v>
      </c>
      <c r="B182" s="23" t="s">
        <v>222</v>
      </c>
      <c r="C182" s="23"/>
      <c r="D182" s="24">
        <v>0</v>
      </c>
      <c r="E182" s="23"/>
      <c r="F182" s="30"/>
      <c r="G182" s="27">
        <v>0</v>
      </c>
      <c r="H182" s="4"/>
      <c r="I182" s="46"/>
    </row>
    <row r="183" spans="1:9" s="20" customFormat="1" ht="36" customHeight="1" hidden="1">
      <c r="A183" s="18" t="s">
        <v>86</v>
      </c>
      <c r="B183" s="4" t="s">
        <v>93</v>
      </c>
      <c r="C183" s="4" t="s">
        <v>118</v>
      </c>
      <c r="D183" s="17">
        <v>0</v>
      </c>
      <c r="E183" s="4"/>
      <c r="F183" s="12"/>
      <c r="G183" s="9">
        <v>0</v>
      </c>
      <c r="H183" s="4"/>
      <c r="I183" s="46"/>
    </row>
    <row r="184" spans="1:9" s="20" customFormat="1" ht="47.25" customHeight="1" hidden="1">
      <c r="A184" s="18" t="s">
        <v>94</v>
      </c>
      <c r="B184" s="4" t="s">
        <v>116</v>
      </c>
      <c r="C184" s="4" t="s">
        <v>202</v>
      </c>
      <c r="D184" s="17">
        <v>0</v>
      </c>
      <c r="E184" s="4"/>
      <c r="F184" s="12"/>
      <c r="G184" s="9">
        <v>0</v>
      </c>
      <c r="H184" s="4"/>
      <c r="I184" s="46"/>
    </row>
    <row r="185" spans="1:9" s="20" customFormat="1" ht="47.25" hidden="1">
      <c r="A185" s="22" t="s">
        <v>146</v>
      </c>
      <c r="B185" s="23" t="s">
        <v>53</v>
      </c>
      <c r="C185" s="4"/>
      <c r="D185" s="24">
        <f>D187</f>
        <v>40159</v>
      </c>
      <c r="E185" s="5"/>
      <c r="F185" s="24">
        <f>F186</f>
        <v>61915</v>
      </c>
      <c r="G185" s="28">
        <f aca="true" t="shared" si="7" ref="G185:G192">D185+F185</f>
        <v>102074</v>
      </c>
      <c r="H185" s="71"/>
      <c r="I185" s="46"/>
    </row>
    <row r="186" spans="1:9" s="20" customFormat="1" ht="48" customHeight="1" hidden="1">
      <c r="A186" s="18" t="s">
        <v>165</v>
      </c>
      <c r="B186" s="4" t="s">
        <v>166</v>
      </c>
      <c r="C186" s="4"/>
      <c r="D186" s="17"/>
      <c r="E186" s="4" t="s">
        <v>396</v>
      </c>
      <c r="F186" s="19">
        <v>61915</v>
      </c>
      <c r="G186" s="19">
        <f t="shared" si="7"/>
        <v>61915</v>
      </c>
      <c r="H186" s="4"/>
      <c r="I186" s="46"/>
    </row>
    <row r="187" spans="1:9" s="20" customFormat="1" ht="63" hidden="1">
      <c r="A187" s="18" t="s">
        <v>77</v>
      </c>
      <c r="B187" s="4" t="s">
        <v>92</v>
      </c>
      <c r="C187" s="4" t="s">
        <v>366</v>
      </c>
      <c r="D187" s="17">
        <v>40159</v>
      </c>
      <c r="E187" s="4"/>
      <c r="F187" s="9"/>
      <c r="G187" s="19">
        <f t="shared" si="7"/>
        <v>40159</v>
      </c>
      <c r="H187" s="4"/>
      <c r="I187" s="46"/>
    </row>
    <row r="188" spans="1:9" s="20" customFormat="1" ht="47.25" hidden="1">
      <c r="A188" s="22" t="s">
        <v>150</v>
      </c>
      <c r="B188" s="23" t="s">
        <v>55</v>
      </c>
      <c r="C188" s="4"/>
      <c r="D188" s="24">
        <f>D189+D191+D192+D193+D190</f>
        <v>2934703</v>
      </c>
      <c r="E188" s="5"/>
      <c r="F188" s="28">
        <f>F189+F193+F191+F190</f>
        <v>1664951</v>
      </c>
      <c r="G188" s="28">
        <f>D188+F188</f>
        <v>4599654</v>
      </c>
      <c r="H188" s="4"/>
      <c r="I188" s="46"/>
    </row>
    <row r="189" spans="1:9" s="20" customFormat="1" ht="53.25" customHeight="1" hidden="1">
      <c r="A189" s="18" t="s">
        <v>165</v>
      </c>
      <c r="B189" s="4" t="s">
        <v>166</v>
      </c>
      <c r="C189" s="4"/>
      <c r="D189" s="17"/>
      <c r="E189" s="4" t="s">
        <v>396</v>
      </c>
      <c r="F189" s="19">
        <v>14000</v>
      </c>
      <c r="G189" s="19">
        <f t="shared" si="7"/>
        <v>14000</v>
      </c>
      <c r="H189" s="4"/>
      <c r="I189" s="46"/>
    </row>
    <row r="190" spans="1:9" s="20" customFormat="1" ht="63" customHeight="1" hidden="1">
      <c r="A190" s="18" t="s">
        <v>390</v>
      </c>
      <c r="B190" s="4" t="s">
        <v>395</v>
      </c>
      <c r="C190" s="4" t="s">
        <v>5</v>
      </c>
      <c r="D190" s="17">
        <v>24055</v>
      </c>
      <c r="E190" s="4" t="s">
        <v>5</v>
      </c>
      <c r="F190" s="9">
        <v>1550464</v>
      </c>
      <c r="G190" s="19">
        <f>D190+F190</f>
        <v>1574519</v>
      </c>
      <c r="H190" s="4"/>
      <c r="I190" s="46"/>
    </row>
    <row r="191" spans="1:9" s="20" customFormat="1" ht="47.25" hidden="1">
      <c r="A191" s="452">
        <v>250404</v>
      </c>
      <c r="B191" s="452" t="s">
        <v>92</v>
      </c>
      <c r="C191" s="4"/>
      <c r="D191" s="21"/>
      <c r="E191" s="4" t="s">
        <v>11</v>
      </c>
      <c r="F191" s="12">
        <v>100487</v>
      </c>
      <c r="G191" s="19">
        <f t="shared" si="7"/>
        <v>100487</v>
      </c>
      <c r="H191" s="4"/>
      <c r="I191" s="46"/>
    </row>
    <row r="192" spans="1:9" s="20" customFormat="1" ht="51" customHeight="1" hidden="1">
      <c r="A192" s="452"/>
      <c r="B192" s="452"/>
      <c r="C192" s="4" t="s">
        <v>4</v>
      </c>
      <c r="D192" s="21">
        <v>2910648</v>
      </c>
      <c r="E192" s="4"/>
      <c r="F192" s="31"/>
      <c r="G192" s="19">
        <f t="shared" si="7"/>
        <v>2910648</v>
      </c>
      <c r="H192" s="4"/>
      <c r="I192" s="46"/>
    </row>
    <row r="193" spans="1:9" s="20" customFormat="1" ht="66" customHeight="1" hidden="1">
      <c r="A193" s="464"/>
      <c r="B193" s="452"/>
      <c r="D193" s="21"/>
      <c r="E193" s="4"/>
      <c r="F193" s="9"/>
      <c r="G193" s="19">
        <f>D193+F193</f>
        <v>0</v>
      </c>
      <c r="H193" s="4"/>
      <c r="I193" s="46"/>
    </row>
    <row r="194" spans="1:9" s="20" customFormat="1" ht="31.5" hidden="1">
      <c r="A194" s="22">
        <v>50</v>
      </c>
      <c r="B194" s="23" t="s">
        <v>186</v>
      </c>
      <c r="C194" s="4"/>
      <c r="D194" s="24">
        <v>0</v>
      </c>
      <c r="E194" s="5"/>
      <c r="F194" s="27">
        <v>0</v>
      </c>
      <c r="G194" s="27">
        <v>0</v>
      </c>
      <c r="H194" s="4"/>
      <c r="I194" s="46"/>
    </row>
    <row r="195" spans="1:9" s="20" customFormat="1" ht="48.75" customHeight="1" hidden="1">
      <c r="A195" s="18" t="s">
        <v>165</v>
      </c>
      <c r="B195" s="4" t="s">
        <v>166</v>
      </c>
      <c r="C195" s="4" t="s">
        <v>178</v>
      </c>
      <c r="D195" s="21"/>
      <c r="E195" s="4"/>
      <c r="F195" s="9"/>
      <c r="G195" s="9">
        <v>0</v>
      </c>
      <c r="H195" s="4"/>
      <c r="I195" s="46"/>
    </row>
    <row r="196" spans="1:9" s="20" customFormat="1" ht="47.25" hidden="1">
      <c r="A196" s="22" t="s">
        <v>154</v>
      </c>
      <c r="B196" s="23" t="s">
        <v>59</v>
      </c>
      <c r="C196" s="23"/>
      <c r="D196" s="24">
        <v>0</v>
      </c>
      <c r="E196" s="32"/>
      <c r="F196" s="24">
        <f>F197+F198</f>
        <v>41720</v>
      </c>
      <c r="G196" s="24">
        <f aca="true" t="shared" si="8" ref="G196:G203">D196+F196</f>
        <v>41720</v>
      </c>
      <c r="H196" s="71"/>
      <c r="I196" s="46"/>
    </row>
    <row r="197" spans="1:9" s="20" customFormat="1" ht="31.5" hidden="1">
      <c r="A197" s="18" t="s">
        <v>165</v>
      </c>
      <c r="B197" s="4" t="s">
        <v>166</v>
      </c>
      <c r="C197" s="4"/>
      <c r="D197" s="17"/>
      <c r="E197" s="4" t="s">
        <v>396</v>
      </c>
      <c r="F197" s="17">
        <v>41720</v>
      </c>
      <c r="G197" s="17">
        <f t="shared" si="8"/>
        <v>41720</v>
      </c>
      <c r="H197" s="4"/>
      <c r="I197" s="46"/>
    </row>
    <row r="198" spans="1:9" s="20" customFormat="1" ht="47.25" hidden="1">
      <c r="A198" s="18" t="s">
        <v>41</v>
      </c>
      <c r="B198" s="4" t="s">
        <v>42</v>
      </c>
      <c r="C198" s="4"/>
      <c r="D198" s="17"/>
      <c r="E198" s="70" t="s">
        <v>301</v>
      </c>
      <c r="F198" s="19">
        <v>0</v>
      </c>
      <c r="G198" s="17">
        <f t="shared" si="8"/>
        <v>0</v>
      </c>
      <c r="H198" s="4"/>
      <c r="I198" s="46"/>
    </row>
    <row r="199" spans="1:9" s="20" customFormat="1" ht="53.25" customHeight="1" hidden="1">
      <c r="A199" s="22" t="s">
        <v>151</v>
      </c>
      <c r="B199" s="23" t="s">
        <v>56</v>
      </c>
      <c r="C199" s="4"/>
      <c r="D199" s="24">
        <f>D203+D200+D201</f>
        <v>0</v>
      </c>
      <c r="E199" s="5"/>
      <c r="F199" s="24">
        <f>F201+F202+F200</f>
        <v>14491369</v>
      </c>
      <c r="G199" s="24">
        <f t="shared" si="8"/>
        <v>14491369</v>
      </c>
      <c r="H199" s="71"/>
      <c r="I199" s="46"/>
    </row>
    <row r="200" spans="1:9" s="20" customFormat="1" ht="33" customHeight="1" hidden="1">
      <c r="A200" s="18" t="s">
        <v>165</v>
      </c>
      <c r="B200" s="4" t="s">
        <v>166</v>
      </c>
      <c r="C200" s="4"/>
      <c r="D200" s="17"/>
      <c r="E200" s="4" t="s">
        <v>396</v>
      </c>
      <c r="F200" s="19">
        <v>21000</v>
      </c>
      <c r="G200" s="17">
        <f>D200+F200</f>
        <v>21000</v>
      </c>
      <c r="H200" s="4"/>
      <c r="I200" s="46"/>
    </row>
    <row r="201" spans="1:9" s="20" customFormat="1" ht="32.25" customHeight="1" hidden="1">
      <c r="A201" s="4">
        <v>240601</v>
      </c>
      <c r="B201" s="4" t="s">
        <v>106</v>
      </c>
      <c r="C201" s="4"/>
      <c r="D201" s="5"/>
      <c r="E201" s="4" t="s">
        <v>348</v>
      </c>
      <c r="F201" s="19">
        <v>14470369</v>
      </c>
      <c r="G201" s="17">
        <f t="shared" si="8"/>
        <v>14470369</v>
      </c>
      <c r="H201" s="4"/>
      <c r="I201" s="46"/>
    </row>
    <row r="202" spans="1:9" s="20" customFormat="1" ht="72" customHeight="1" hidden="1">
      <c r="A202" s="4">
        <v>240900</v>
      </c>
      <c r="B202" s="4" t="s">
        <v>221</v>
      </c>
      <c r="C202" s="4"/>
      <c r="D202" s="5"/>
      <c r="E202" s="70" t="s">
        <v>355</v>
      </c>
      <c r="F202" s="19">
        <v>0</v>
      </c>
      <c r="G202" s="17">
        <f t="shared" si="8"/>
        <v>0</v>
      </c>
      <c r="H202" s="4"/>
      <c r="I202" s="46"/>
    </row>
    <row r="203" spans="1:9" s="20" customFormat="1" ht="54" customHeight="1" hidden="1">
      <c r="A203" s="4">
        <v>250404</v>
      </c>
      <c r="B203" s="4" t="s">
        <v>210</v>
      </c>
      <c r="C203" s="4" t="s">
        <v>308</v>
      </c>
      <c r="D203" s="17">
        <v>0</v>
      </c>
      <c r="E203" s="4"/>
      <c r="F203" s="19"/>
      <c r="G203" s="17">
        <f t="shared" si="8"/>
        <v>0</v>
      </c>
      <c r="H203" s="4"/>
      <c r="I203" s="46"/>
    </row>
    <row r="204" spans="1:9" s="20" customFormat="1" ht="47.25" hidden="1">
      <c r="A204" s="22" t="s">
        <v>149</v>
      </c>
      <c r="B204" s="23" t="s">
        <v>57</v>
      </c>
      <c r="C204" s="4"/>
      <c r="D204" s="24">
        <f>D206+D207+D213+D215+D214</f>
        <v>14847723</v>
      </c>
      <c r="E204" s="5"/>
      <c r="F204" s="24">
        <f>F205+F206+F208+F209+F210+F211+F213</f>
        <v>3804223</v>
      </c>
      <c r="G204" s="24">
        <f>D204+F204</f>
        <v>18651946</v>
      </c>
      <c r="H204" s="71"/>
      <c r="I204" s="46"/>
    </row>
    <row r="205" spans="1:9" s="20" customFormat="1" ht="48" customHeight="1" hidden="1">
      <c r="A205" s="18" t="s">
        <v>165</v>
      </c>
      <c r="B205" s="4" t="s">
        <v>166</v>
      </c>
      <c r="C205" s="4"/>
      <c r="D205" s="17"/>
      <c r="E205" s="4" t="s">
        <v>396</v>
      </c>
      <c r="F205" s="9">
        <v>7000</v>
      </c>
      <c r="G205" s="17">
        <f>D205+F205</f>
        <v>7000</v>
      </c>
      <c r="H205" s="4"/>
      <c r="I205" s="46"/>
    </row>
    <row r="206" spans="1:9" s="20" customFormat="1" ht="84.75" customHeight="1" hidden="1">
      <c r="A206" s="18" t="s">
        <v>31</v>
      </c>
      <c r="B206" s="4" t="s">
        <v>32</v>
      </c>
      <c r="C206" s="4" t="s">
        <v>388</v>
      </c>
      <c r="D206" s="17">
        <v>2300000</v>
      </c>
      <c r="E206" s="4" t="s">
        <v>388</v>
      </c>
      <c r="F206" s="19">
        <v>296214</v>
      </c>
      <c r="G206" s="17">
        <f>D206+F206</f>
        <v>2596214</v>
      </c>
      <c r="H206" s="4"/>
      <c r="I206" s="46"/>
    </row>
    <row r="207" spans="1:9" s="20" customFormat="1" ht="72.75" customHeight="1" hidden="1">
      <c r="A207" s="18" t="s">
        <v>82</v>
      </c>
      <c r="B207" s="4" t="s">
        <v>83</v>
      </c>
      <c r="C207" s="4" t="s">
        <v>404</v>
      </c>
      <c r="D207" s="17">
        <v>10000000</v>
      </c>
      <c r="E207" s="4"/>
      <c r="F207" s="9"/>
      <c r="G207" s="17">
        <f>D207+F207</f>
        <v>10000000</v>
      </c>
      <c r="H207" s="4"/>
      <c r="I207" s="46"/>
    </row>
    <row r="208" spans="1:9" s="20" customFormat="1" ht="78.75" hidden="1">
      <c r="A208" s="458" t="s">
        <v>84</v>
      </c>
      <c r="B208" s="456" t="s">
        <v>85</v>
      </c>
      <c r="C208" s="4"/>
      <c r="D208" s="17"/>
      <c r="E208" s="4" t="s">
        <v>404</v>
      </c>
      <c r="F208" s="19">
        <v>1355142</v>
      </c>
      <c r="G208" s="17">
        <f aca="true" t="shared" si="9" ref="G208:G215">D208+F208</f>
        <v>1355142</v>
      </c>
      <c r="H208" s="4"/>
      <c r="I208" s="46"/>
    </row>
    <row r="209" spans="1:9" s="20" customFormat="1" ht="47.25" hidden="1">
      <c r="A209" s="459"/>
      <c r="B209" s="457"/>
      <c r="C209" s="4"/>
      <c r="D209" s="17"/>
      <c r="E209" s="4" t="s">
        <v>358</v>
      </c>
      <c r="F209" s="19">
        <v>25880</v>
      </c>
      <c r="G209" s="17">
        <f t="shared" si="9"/>
        <v>25880</v>
      </c>
      <c r="H209" s="4"/>
      <c r="I209" s="46"/>
    </row>
    <row r="210" spans="1:9" s="20" customFormat="1" ht="62.25" customHeight="1" hidden="1">
      <c r="A210" s="454" t="s">
        <v>98</v>
      </c>
      <c r="B210" s="453" t="s">
        <v>224</v>
      </c>
      <c r="C210" s="453"/>
      <c r="D210" s="17"/>
      <c r="E210" s="4" t="s">
        <v>404</v>
      </c>
      <c r="F210" s="19">
        <v>66000</v>
      </c>
      <c r="G210" s="17">
        <f t="shared" si="9"/>
        <v>66000</v>
      </c>
      <c r="H210" s="4"/>
      <c r="I210" s="46"/>
    </row>
    <row r="211" spans="1:9" s="20" customFormat="1" ht="63" hidden="1">
      <c r="A211" s="454"/>
      <c r="B211" s="453"/>
      <c r="C211" s="453"/>
      <c r="D211" s="465"/>
      <c r="E211" s="4" t="s">
        <v>405</v>
      </c>
      <c r="F211" s="19">
        <v>1573041</v>
      </c>
      <c r="G211" s="17">
        <f t="shared" si="9"/>
        <v>1573041</v>
      </c>
      <c r="H211" s="4"/>
      <c r="I211" s="46"/>
    </row>
    <row r="212" spans="1:9" s="20" customFormat="1" ht="47.25" hidden="1">
      <c r="A212" s="454"/>
      <c r="B212" s="453"/>
      <c r="C212" s="453"/>
      <c r="D212" s="465"/>
      <c r="E212" s="4" t="s">
        <v>304</v>
      </c>
      <c r="F212" s="9">
        <v>0</v>
      </c>
      <c r="G212" s="17">
        <f t="shared" si="9"/>
        <v>0</v>
      </c>
      <c r="H212" s="4"/>
      <c r="I212" s="46"/>
    </row>
    <row r="213" spans="1:9" s="20" customFormat="1" ht="69" customHeight="1" hidden="1">
      <c r="A213" s="18" t="s">
        <v>214</v>
      </c>
      <c r="B213" s="4" t="s">
        <v>215</v>
      </c>
      <c r="C213" s="4" t="s">
        <v>404</v>
      </c>
      <c r="D213" s="17">
        <v>122723</v>
      </c>
      <c r="E213" s="4" t="s">
        <v>405</v>
      </c>
      <c r="F213" s="19">
        <v>480946</v>
      </c>
      <c r="G213" s="17">
        <f t="shared" si="9"/>
        <v>603669</v>
      </c>
      <c r="H213" s="4"/>
      <c r="I213" s="46"/>
    </row>
    <row r="214" spans="1:9" s="20" customFormat="1" ht="63" hidden="1">
      <c r="A214" s="454" t="s">
        <v>77</v>
      </c>
      <c r="B214" s="453" t="s">
        <v>92</v>
      </c>
      <c r="C214" s="4" t="s">
        <v>405</v>
      </c>
      <c r="D214" s="17">
        <v>2425000</v>
      </c>
      <c r="E214" s="4"/>
      <c r="F214" s="9"/>
      <c r="G214" s="17">
        <f t="shared" si="9"/>
        <v>2425000</v>
      </c>
      <c r="H214" s="4"/>
      <c r="I214" s="46"/>
    </row>
    <row r="215" spans="1:9" s="20" customFormat="1" ht="63" hidden="1">
      <c r="A215" s="454"/>
      <c r="B215" s="453"/>
      <c r="C215" s="4" t="s">
        <v>306</v>
      </c>
      <c r="D215" s="17">
        <v>0</v>
      </c>
      <c r="E215" s="4" t="s">
        <v>306</v>
      </c>
      <c r="F215" s="19">
        <v>0</v>
      </c>
      <c r="G215" s="17">
        <f t="shared" si="9"/>
        <v>0</v>
      </c>
      <c r="H215" s="4"/>
      <c r="I215" s="46"/>
    </row>
    <row r="216" spans="1:9" s="20" customFormat="1" ht="78.75" customHeight="1">
      <c r="A216" s="22" t="s">
        <v>144</v>
      </c>
      <c r="B216" s="23" t="s">
        <v>52</v>
      </c>
      <c r="C216" s="4"/>
      <c r="D216" s="24">
        <f>D218+D219+D220</f>
        <v>6262527</v>
      </c>
      <c r="E216" s="5"/>
      <c r="F216" s="28">
        <f>F218+F219+F217</f>
        <v>6501142</v>
      </c>
      <c r="G216" s="28">
        <f>D216+F216</f>
        <v>12763669</v>
      </c>
      <c r="H216" s="71"/>
      <c r="I216" s="46"/>
    </row>
    <row r="217" spans="1:9" s="20" customFormat="1" ht="42" customHeight="1" hidden="1">
      <c r="A217" s="18" t="s">
        <v>165</v>
      </c>
      <c r="B217" s="4" t="s">
        <v>166</v>
      </c>
      <c r="C217" s="4"/>
      <c r="D217" s="17"/>
      <c r="E217" s="4" t="s">
        <v>396</v>
      </c>
      <c r="F217" s="12">
        <v>7000</v>
      </c>
      <c r="G217" s="19">
        <f aca="true" t="shared" si="10" ref="G217:G233">D217+F217</f>
        <v>7000</v>
      </c>
      <c r="H217" s="4"/>
      <c r="I217" s="46"/>
    </row>
    <row r="218" spans="1:9" s="20" customFormat="1" ht="69.75" customHeight="1">
      <c r="A218" s="18" t="s">
        <v>88</v>
      </c>
      <c r="B218" s="4" t="s">
        <v>89</v>
      </c>
      <c r="C218" s="4" t="s">
        <v>406</v>
      </c>
      <c r="D218" s="17">
        <v>3201442</v>
      </c>
      <c r="E218" s="4" t="s">
        <v>406</v>
      </c>
      <c r="F218" s="12">
        <v>6203691</v>
      </c>
      <c r="G218" s="19">
        <f>D218+F218</f>
        <v>9405133</v>
      </c>
      <c r="H218" s="71">
        <v>82552</v>
      </c>
      <c r="I218" s="46"/>
    </row>
    <row r="219" spans="1:9" s="20" customFormat="1" ht="63">
      <c r="A219" s="454" t="s">
        <v>90</v>
      </c>
      <c r="B219" s="453" t="s">
        <v>91</v>
      </c>
      <c r="C219" s="4" t="s">
        <v>406</v>
      </c>
      <c r="D219" s="17">
        <v>3059895</v>
      </c>
      <c r="E219" s="4" t="s">
        <v>406</v>
      </c>
      <c r="F219" s="12">
        <v>290451</v>
      </c>
      <c r="G219" s="19">
        <f>D219+F219</f>
        <v>3350346</v>
      </c>
      <c r="H219" s="71">
        <v>64182</v>
      </c>
      <c r="I219" s="46"/>
    </row>
    <row r="220" spans="1:9" s="20" customFormat="1" ht="68.25" customHeight="1" hidden="1">
      <c r="A220" s="454"/>
      <c r="B220" s="453"/>
      <c r="C220" s="4" t="s">
        <v>366</v>
      </c>
      <c r="D220" s="17">
        <v>1190</v>
      </c>
      <c r="E220" s="4"/>
      <c r="F220" s="12"/>
      <c r="G220" s="19">
        <f t="shared" si="10"/>
        <v>1190</v>
      </c>
      <c r="H220" s="4"/>
      <c r="I220" s="46"/>
    </row>
    <row r="221" spans="1:9" s="20" customFormat="1" ht="47.25" hidden="1">
      <c r="A221" s="22" t="s">
        <v>153</v>
      </c>
      <c r="B221" s="23" t="s">
        <v>58</v>
      </c>
      <c r="C221" s="4"/>
      <c r="D221" s="24">
        <f>D226</f>
        <v>0</v>
      </c>
      <c r="E221" s="5"/>
      <c r="F221" s="24">
        <f>F222+F223+F224</f>
        <v>7046384</v>
      </c>
      <c r="G221" s="24">
        <f>D221+F221</f>
        <v>7046384</v>
      </c>
      <c r="H221" s="71"/>
      <c r="I221" s="46"/>
    </row>
    <row r="222" spans="1:9" s="20" customFormat="1" ht="31.5" hidden="1">
      <c r="A222" s="18" t="s">
        <v>165</v>
      </c>
      <c r="B222" s="4" t="s">
        <v>166</v>
      </c>
      <c r="C222" s="4"/>
      <c r="D222" s="17"/>
      <c r="E222" s="4" t="s">
        <v>396</v>
      </c>
      <c r="F222" s="17">
        <v>35000</v>
      </c>
      <c r="G222" s="17">
        <f t="shared" si="10"/>
        <v>35000</v>
      </c>
      <c r="H222" s="4"/>
      <c r="I222" s="46"/>
    </row>
    <row r="223" spans="1:9" s="20" customFormat="1" ht="47.25" hidden="1">
      <c r="A223" s="18" t="s">
        <v>84</v>
      </c>
      <c r="B223" s="4" t="s">
        <v>85</v>
      </c>
      <c r="C223" s="4"/>
      <c r="D223" s="5"/>
      <c r="E223" s="4" t="s">
        <v>407</v>
      </c>
      <c r="F223" s="12">
        <v>3511384</v>
      </c>
      <c r="G223" s="17">
        <f t="shared" si="10"/>
        <v>3511384</v>
      </c>
      <c r="H223" s="4"/>
      <c r="I223" s="46"/>
    </row>
    <row r="224" spans="1:9" s="20" customFormat="1" ht="79.5" customHeight="1" hidden="1">
      <c r="A224" s="18" t="s">
        <v>99</v>
      </c>
      <c r="B224" s="4" t="s">
        <v>100</v>
      </c>
      <c r="C224" s="4"/>
      <c r="D224" s="5"/>
      <c r="E224" s="4" t="s">
        <v>407</v>
      </c>
      <c r="F224" s="19">
        <v>3500000</v>
      </c>
      <c r="G224" s="17">
        <f t="shared" si="10"/>
        <v>3500000</v>
      </c>
      <c r="H224" s="4"/>
      <c r="I224" s="46"/>
    </row>
    <row r="225" spans="1:9" s="20" customFormat="1" ht="78.75" hidden="1">
      <c r="A225" s="18" t="s">
        <v>88</v>
      </c>
      <c r="B225" s="4" t="s">
        <v>219</v>
      </c>
      <c r="C225" s="4"/>
      <c r="D225" s="17"/>
      <c r="E225" s="4" t="s">
        <v>271</v>
      </c>
      <c r="F225" s="19">
        <v>0</v>
      </c>
      <c r="G225" s="24">
        <f t="shared" si="10"/>
        <v>0</v>
      </c>
      <c r="H225" s="4"/>
      <c r="I225" s="46"/>
    </row>
    <row r="226" spans="1:9" s="20" customFormat="1" ht="53.25" customHeight="1" hidden="1">
      <c r="A226" s="18" t="s">
        <v>77</v>
      </c>
      <c r="B226" s="4" t="s">
        <v>92</v>
      </c>
      <c r="C226" s="4" t="s">
        <v>256</v>
      </c>
      <c r="D226" s="17">
        <v>0</v>
      </c>
      <c r="E226" s="4"/>
      <c r="F226" s="19"/>
      <c r="G226" s="17">
        <f t="shared" si="10"/>
        <v>0</v>
      </c>
      <c r="H226" s="4"/>
      <c r="I226" s="46"/>
    </row>
    <row r="227" spans="1:9" s="20" customFormat="1" ht="46.5" customHeight="1" hidden="1">
      <c r="A227" s="22" t="s">
        <v>152</v>
      </c>
      <c r="B227" s="23" t="s">
        <v>37</v>
      </c>
      <c r="C227" s="4"/>
      <c r="D227" s="24">
        <f>D229+D230+D232</f>
        <v>35602</v>
      </c>
      <c r="E227" s="5"/>
      <c r="F227" s="28">
        <f>F229</f>
        <v>70000</v>
      </c>
      <c r="G227" s="28">
        <f t="shared" si="10"/>
        <v>105602</v>
      </c>
      <c r="H227" s="4"/>
      <c r="I227" s="46"/>
    </row>
    <row r="228" spans="1:9" s="20" customFormat="1" ht="46.5" customHeight="1" hidden="1">
      <c r="A228" s="26" t="s">
        <v>165</v>
      </c>
      <c r="B228" s="4" t="s">
        <v>166</v>
      </c>
      <c r="C228" s="4" t="s">
        <v>185</v>
      </c>
      <c r="D228" s="21"/>
      <c r="E228" s="5"/>
      <c r="F228" s="19"/>
      <c r="G228" s="28">
        <f t="shared" si="10"/>
        <v>0</v>
      </c>
      <c r="H228" s="4"/>
      <c r="I228" s="46"/>
    </row>
    <row r="229" spans="1:9" s="20" customFormat="1" ht="70.5" customHeight="1" hidden="1">
      <c r="A229" s="18" t="s">
        <v>165</v>
      </c>
      <c r="B229" s="4" t="s">
        <v>166</v>
      </c>
      <c r="C229" s="4" t="s">
        <v>366</v>
      </c>
      <c r="D229" s="21">
        <v>2602</v>
      </c>
      <c r="E229" s="4" t="s">
        <v>396</v>
      </c>
      <c r="F229" s="19">
        <v>70000</v>
      </c>
      <c r="G229" s="19">
        <f>D229+F229</f>
        <v>72602</v>
      </c>
      <c r="H229" s="4"/>
      <c r="I229" s="46"/>
    </row>
    <row r="230" spans="1:9" s="20" customFormat="1" ht="15.75" hidden="1">
      <c r="A230" s="26">
        <v>230000</v>
      </c>
      <c r="B230" s="4" t="s">
        <v>194</v>
      </c>
      <c r="C230" s="453" t="s">
        <v>347</v>
      </c>
      <c r="D230" s="21">
        <v>0</v>
      </c>
      <c r="E230" s="5"/>
      <c r="F230" s="27"/>
      <c r="G230" s="19">
        <f t="shared" si="10"/>
        <v>0</v>
      </c>
      <c r="H230" s="4"/>
      <c r="I230" s="46"/>
    </row>
    <row r="231" spans="1:9" s="20" customFormat="1" ht="48" customHeight="1" hidden="1">
      <c r="A231" s="26">
        <v>210105</v>
      </c>
      <c r="B231" s="4"/>
      <c r="C231" s="453"/>
      <c r="D231" s="21">
        <v>0</v>
      </c>
      <c r="E231" s="5"/>
      <c r="F231" s="19">
        <v>0</v>
      </c>
      <c r="G231" s="19">
        <f t="shared" si="10"/>
        <v>0</v>
      </c>
      <c r="H231" s="4"/>
      <c r="I231" s="46"/>
    </row>
    <row r="232" spans="1:9" s="20" customFormat="1" ht="33" customHeight="1" hidden="1">
      <c r="A232" s="18" t="s">
        <v>77</v>
      </c>
      <c r="B232" s="4" t="s">
        <v>92</v>
      </c>
      <c r="C232" s="453"/>
      <c r="D232" s="17">
        <v>33000</v>
      </c>
      <c r="E232" s="4"/>
      <c r="F232" s="9"/>
      <c r="G232" s="19">
        <f t="shared" si="10"/>
        <v>33000</v>
      </c>
      <c r="H232" s="4"/>
      <c r="I232" s="46"/>
    </row>
    <row r="233" spans="1:9" s="20" customFormat="1" ht="47.25" hidden="1">
      <c r="A233" s="22" t="s">
        <v>193</v>
      </c>
      <c r="B233" s="23" t="s">
        <v>37</v>
      </c>
      <c r="C233" s="4"/>
      <c r="D233" s="32">
        <v>0</v>
      </c>
      <c r="E233" s="4"/>
      <c r="F233" s="24">
        <f>F235+F236</f>
        <v>0</v>
      </c>
      <c r="G233" s="24">
        <f t="shared" si="10"/>
        <v>0</v>
      </c>
      <c r="H233" s="71"/>
      <c r="I233" s="46"/>
    </row>
    <row r="234" spans="1:9" s="20" customFormat="1" ht="45" customHeight="1" hidden="1">
      <c r="A234" s="18" t="s">
        <v>101</v>
      </c>
      <c r="B234" s="4" t="s">
        <v>195</v>
      </c>
      <c r="C234" s="4"/>
      <c r="D234" s="5"/>
      <c r="E234" s="4" t="s">
        <v>203</v>
      </c>
      <c r="F234" s="12">
        <v>0</v>
      </c>
      <c r="G234" s="9">
        <v>0</v>
      </c>
      <c r="H234" s="4"/>
      <c r="I234" s="46"/>
    </row>
    <row r="235" spans="1:9" s="20" customFormat="1" ht="51.75" customHeight="1" hidden="1">
      <c r="A235" s="462">
        <v>250380</v>
      </c>
      <c r="B235" s="456" t="s">
        <v>289</v>
      </c>
      <c r="C235" s="4"/>
      <c r="D235" s="5"/>
      <c r="E235" s="4" t="s">
        <v>270</v>
      </c>
      <c r="F235" s="19">
        <v>0</v>
      </c>
      <c r="G235" s="19">
        <f>F235</f>
        <v>0</v>
      </c>
      <c r="H235" s="4"/>
      <c r="I235" s="46"/>
    </row>
    <row r="236" spans="1:9" s="20" customFormat="1" ht="51.75" customHeight="1" hidden="1">
      <c r="A236" s="463"/>
      <c r="B236" s="457"/>
      <c r="C236" s="4"/>
      <c r="D236" s="5"/>
      <c r="E236" s="4" t="s">
        <v>292</v>
      </c>
      <c r="F236" s="19">
        <v>0</v>
      </c>
      <c r="G236" s="19">
        <f>F236</f>
        <v>0</v>
      </c>
      <c r="H236" s="4"/>
      <c r="I236" s="46"/>
    </row>
    <row r="237" spans="1:9" s="20" customFormat="1" ht="47.25" hidden="1">
      <c r="A237" s="22" t="s">
        <v>134</v>
      </c>
      <c r="B237" s="23" t="s">
        <v>40</v>
      </c>
      <c r="C237" s="4"/>
      <c r="D237" s="24">
        <f>D241+D244+D245+D246+D247+D250+D251</f>
        <v>996508</v>
      </c>
      <c r="E237" s="4"/>
      <c r="F237" s="24">
        <f>F240+F243</f>
        <v>68812</v>
      </c>
      <c r="G237" s="24">
        <f>D237+F237</f>
        <v>1065320</v>
      </c>
      <c r="H237" s="71"/>
      <c r="I237" s="46"/>
    </row>
    <row r="238" spans="1:9" s="20" customFormat="1" ht="49.5" customHeight="1" hidden="1">
      <c r="A238" s="18" t="s">
        <v>165</v>
      </c>
      <c r="B238" s="4" t="s">
        <v>166</v>
      </c>
      <c r="C238" s="4" t="s">
        <v>171</v>
      </c>
      <c r="D238" s="17"/>
      <c r="E238" s="4" t="s">
        <v>171</v>
      </c>
      <c r="F238" s="19"/>
      <c r="G238" s="9">
        <v>0</v>
      </c>
      <c r="H238" s="4"/>
      <c r="I238" s="46"/>
    </row>
    <row r="239" spans="1:9" s="20" customFormat="1" ht="72" customHeight="1" hidden="1">
      <c r="A239" s="454" t="s">
        <v>165</v>
      </c>
      <c r="B239" s="453" t="s">
        <v>166</v>
      </c>
      <c r="C239" s="4" t="s">
        <v>282</v>
      </c>
      <c r="D239" s="17">
        <v>0</v>
      </c>
      <c r="E239" s="4"/>
      <c r="F239" s="19"/>
      <c r="G239" s="19">
        <v>0</v>
      </c>
      <c r="H239" s="4"/>
      <c r="I239" s="46"/>
    </row>
    <row r="240" spans="1:9" s="20" customFormat="1" ht="53.25" customHeight="1" hidden="1">
      <c r="A240" s="454"/>
      <c r="B240" s="453"/>
      <c r="C240" s="4"/>
      <c r="D240" s="17"/>
      <c r="E240" s="4" t="s">
        <v>396</v>
      </c>
      <c r="F240" s="19">
        <v>68812</v>
      </c>
      <c r="G240" s="19">
        <f>F240</f>
        <v>68812</v>
      </c>
      <c r="H240" s="4"/>
      <c r="I240" s="46"/>
    </row>
    <row r="241" spans="1:9" s="20" customFormat="1" ht="47.25" customHeight="1" hidden="1">
      <c r="A241" s="18" t="s">
        <v>94</v>
      </c>
      <c r="B241" s="4" t="s">
        <v>95</v>
      </c>
      <c r="C241" s="4" t="s">
        <v>400</v>
      </c>
      <c r="D241" s="17">
        <v>510000</v>
      </c>
      <c r="E241" s="4"/>
      <c r="F241" s="19"/>
      <c r="G241" s="19">
        <f>D241</f>
        <v>510000</v>
      </c>
      <c r="H241" s="4"/>
      <c r="I241" s="46"/>
    </row>
    <row r="242" spans="1:9" s="20" customFormat="1" ht="42.75" customHeight="1" hidden="1">
      <c r="A242" s="18" t="s">
        <v>84</v>
      </c>
      <c r="B242" s="4" t="s">
        <v>85</v>
      </c>
      <c r="C242" s="4"/>
      <c r="D242" s="17"/>
      <c r="E242" s="4" t="s">
        <v>199</v>
      </c>
      <c r="F242" s="19">
        <v>0</v>
      </c>
      <c r="G242" s="9">
        <v>0</v>
      </c>
      <c r="H242" s="4"/>
      <c r="I242" s="46"/>
    </row>
    <row r="243" spans="1:9" s="20" customFormat="1" ht="95.25" customHeight="1" hidden="1">
      <c r="A243" s="18" t="s">
        <v>71</v>
      </c>
      <c r="B243" s="4" t="s">
        <v>221</v>
      </c>
      <c r="C243" s="4"/>
      <c r="D243" s="17"/>
      <c r="E243" s="70" t="s">
        <v>280</v>
      </c>
      <c r="F243" s="19">
        <v>0</v>
      </c>
      <c r="G243" s="19">
        <f>F243</f>
        <v>0</v>
      </c>
      <c r="H243" s="4"/>
      <c r="I243" s="46"/>
    </row>
    <row r="244" spans="1:9" s="20" customFormat="1" ht="47.25" hidden="1">
      <c r="A244" s="454" t="s">
        <v>77</v>
      </c>
      <c r="B244" s="453" t="s">
        <v>92</v>
      </c>
      <c r="C244" s="4" t="s">
        <v>337</v>
      </c>
      <c r="D244" s="17">
        <v>155037</v>
      </c>
      <c r="E244" s="4"/>
      <c r="F244" s="9"/>
      <c r="G244" s="19">
        <f>D244</f>
        <v>155037</v>
      </c>
      <c r="H244" s="4"/>
      <c r="I244" s="46"/>
    </row>
    <row r="245" spans="1:9" s="20" customFormat="1" ht="47.25" hidden="1">
      <c r="A245" s="454"/>
      <c r="B245" s="453"/>
      <c r="C245" s="4" t="s">
        <v>400</v>
      </c>
      <c r="D245" s="17">
        <v>66308</v>
      </c>
      <c r="E245" s="4"/>
      <c r="F245" s="9"/>
      <c r="G245" s="19">
        <f aca="true" t="shared" si="11" ref="G245:G251">D245</f>
        <v>66308</v>
      </c>
      <c r="H245" s="4"/>
      <c r="I245" s="46"/>
    </row>
    <row r="246" spans="1:9" s="20" customFormat="1" ht="47.25" hidden="1">
      <c r="A246" s="454"/>
      <c r="B246" s="453"/>
      <c r="C246" s="4" t="s">
        <v>371</v>
      </c>
      <c r="D246" s="17">
        <v>233800</v>
      </c>
      <c r="E246" s="4"/>
      <c r="F246" s="9"/>
      <c r="G246" s="19">
        <f t="shared" si="11"/>
        <v>233800</v>
      </c>
      <c r="H246" s="4"/>
      <c r="I246" s="46"/>
    </row>
    <row r="247" spans="1:9" s="20" customFormat="1" ht="66" customHeight="1" hidden="1">
      <c r="A247" s="454"/>
      <c r="B247" s="453"/>
      <c r="C247" s="4" t="s">
        <v>338</v>
      </c>
      <c r="D247" s="17">
        <v>5100</v>
      </c>
      <c r="E247" s="4"/>
      <c r="F247" s="9"/>
      <c r="G247" s="19">
        <f t="shared" si="11"/>
        <v>5100</v>
      </c>
      <c r="H247" s="4"/>
      <c r="I247" s="46"/>
    </row>
    <row r="248" spans="1:9" s="20" customFormat="1" ht="45.75" customHeight="1" hidden="1">
      <c r="A248" s="454"/>
      <c r="B248" s="453"/>
      <c r="C248" s="4"/>
      <c r="D248" s="5"/>
      <c r="E248" s="4"/>
      <c r="F248" s="9"/>
      <c r="G248" s="19">
        <f t="shared" si="11"/>
        <v>0</v>
      </c>
      <c r="H248" s="4"/>
      <c r="I248" s="46"/>
    </row>
    <row r="249" spans="1:9" s="20" customFormat="1" ht="56.25" customHeight="1" hidden="1">
      <c r="A249" s="454"/>
      <c r="B249" s="453"/>
      <c r="C249" s="4"/>
      <c r="D249" s="5"/>
      <c r="E249" s="4"/>
      <c r="F249" s="9"/>
      <c r="G249" s="19">
        <f t="shared" si="11"/>
        <v>0</v>
      </c>
      <c r="H249" s="4"/>
      <c r="I249" s="46"/>
    </row>
    <row r="250" spans="1:9" s="20" customFormat="1" ht="47.25" hidden="1">
      <c r="A250" s="454"/>
      <c r="B250" s="453"/>
      <c r="C250" s="4" t="s">
        <v>336</v>
      </c>
      <c r="D250" s="17">
        <v>25298</v>
      </c>
      <c r="E250" s="4"/>
      <c r="F250" s="9"/>
      <c r="G250" s="19">
        <f t="shared" si="11"/>
        <v>25298</v>
      </c>
      <c r="H250" s="4"/>
      <c r="I250" s="46"/>
    </row>
    <row r="251" spans="1:9" s="20" customFormat="1" ht="63.75" customHeight="1" hidden="1">
      <c r="A251" s="454"/>
      <c r="B251" s="453"/>
      <c r="C251" s="4" t="s">
        <v>366</v>
      </c>
      <c r="D251" s="17">
        <v>965</v>
      </c>
      <c r="E251" s="4"/>
      <c r="F251" s="9"/>
      <c r="G251" s="19">
        <f t="shared" si="11"/>
        <v>965</v>
      </c>
      <c r="H251" s="4"/>
      <c r="I251" s="46"/>
    </row>
    <row r="252" spans="1:9" s="20" customFormat="1" ht="47.25">
      <c r="A252" s="22" t="s">
        <v>135</v>
      </c>
      <c r="B252" s="23" t="s">
        <v>43</v>
      </c>
      <c r="C252" s="4"/>
      <c r="D252" s="24">
        <f>D254+D258+D260+D261+D262+D263</f>
        <v>509258</v>
      </c>
      <c r="E252" s="23"/>
      <c r="F252" s="24">
        <f>F253+F254+F255+F257</f>
        <v>33765</v>
      </c>
      <c r="G252" s="24">
        <f>D252+F252</f>
        <v>543023</v>
      </c>
      <c r="H252" s="71"/>
      <c r="I252" s="46"/>
    </row>
    <row r="253" spans="1:9" s="20" customFormat="1" ht="43.5" customHeight="1" hidden="1">
      <c r="A253" s="18" t="s">
        <v>165</v>
      </c>
      <c r="B253" s="4" t="s">
        <v>166</v>
      </c>
      <c r="C253" s="4"/>
      <c r="D253" s="17"/>
      <c r="E253" s="4" t="s">
        <v>396</v>
      </c>
      <c r="F253" s="19">
        <v>27827</v>
      </c>
      <c r="G253" s="19">
        <f>F253</f>
        <v>27827</v>
      </c>
      <c r="H253" s="4"/>
      <c r="I253" s="46"/>
    </row>
    <row r="254" spans="1:9" s="20" customFormat="1" ht="50.25" customHeight="1">
      <c r="A254" s="454" t="s">
        <v>94</v>
      </c>
      <c r="B254" s="453" t="s">
        <v>95</v>
      </c>
      <c r="C254" s="4" t="s">
        <v>400</v>
      </c>
      <c r="D254" s="17">
        <v>440000</v>
      </c>
      <c r="E254" s="4" t="s">
        <v>400</v>
      </c>
      <c r="F254" s="19">
        <v>5542</v>
      </c>
      <c r="G254" s="19">
        <f>D254+F254</f>
        <v>445542</v>
      </c>
      <c r="H254" s="4">
        <v>5146</v>
      </c>
      <c r="I254" s="46"/>
    </row>
    <row r="255" spans="1:9" s="20" customFormat="1" ht="47.25" hidden="1">
      <c r="A255" s="454"/>
      <c r="B255" s="453"/>
      <c r="C255" s="4"/>
      <c r="D255" s="17"/>
      <c r="E255" s="35" t="s">
        <v>7</v>
      </c>
      <c r="F255" s="39">
        <v>396</v>
      </c>
      <c r="G255" s="39">
        <f>F255</f>
        <v>396</v>
      </c>
      <c r="H255" s="4"/>
      <c r="I255" s="46"/>
    </row>
    <row r="256" spans="1:9" s="20" customFormat="1" ht="21.75" customHeight="1" hidden="1">
      <c r="A256" s="18" t="s">
        <v>84</v>
      </c>
      <c r="B256" s="4" t="s">
        <v>85</v>
      </c>
      <c r="C256" s="4"/>
      <c r="D256" s="17"/>
      <c r="E256" s="4"/>
      <c r="F256" s="19"/>
      <c r="G256" s="19">
        <v>0</v>
      </c>
      <c r="H256" s="4"/>
      <c r="I256" s="46"/>
    </row>
    <row r="257" spans="1:9" s="20" customFormat="1" ht="99.75" customHeight="1" hidden="1">
      <c r="A257" s="18" t="s">
        <v>71</v>
      </c>
      <c r="B257" s="4" t="s">
        <v>221</v>
      </c>
      <c r="C257" s="4"/>
      <c r="D257" s="17"/>
      <c r="E257" s="70" t="s">
        <v>280</v>
      </c>
      <c r="F257" s="19">
        <v>0</v>
      </c>
      <c r="G257" s="19">
        <f>F257</f>
        <v>0</v>
      </c>
      <c r="H257" s="4"/>
      <c r="I257" s="46"/>
    </row>
    <row r="258" spans="1:9" s="20" customFormat="1" ht="47.25" hidden="1">
      <c r="A258" s="454" t="s">
        <v>77</v>
      </c>
      <c r="B258" s="453" t="s">
        <v>92</v>
      </c>
      <c r="C258" s="4" t="s">
        <v>337</v>
      </c>
      <c r="D258" s="17">
        <v>10800</v>
      </c>
      <c r="E258" s="4"/>
      <c r="F258" s="9"/>
      <c r="G258" s="19">
        <f aca="true" t="shared" si="12" ref="G258:G263">D258</f>
        <v>10800</v>
      </c>
      <c r="H258" s="4"/>
      <c r="I258" s="46"/>
    </row>
    <row r="259" spans="1:9" s="20" customFormat="1" ht="34.5" customHeight="1" hidden="1">
      <c r="A259" s="454"/>
      <c r="B259" s="453"/>
      <c r="C259" s="4"/>
      <c r="D259" s="17"/>
      <c r="E259" s="4"/>
      <c r="F259" s="9"/>
      <c r="G259" s="19">
        <f t="shared" si="12"/>
        <v>0</v>
      </c>
      <c r="H259" s="4"/>
      <c r="I259" s="46"/>
    </row>
    <row r="260" spans="1:9" s="20" customFormat="1" ht="52.5" customHeight="1" hidden="1">
      <c r="A260" s="454"/>
      <c r="B260" s="453"/>
      <c r="C260" s="4" t="s">
        <v>371</v>
      </c>
      <c r="D260" s="17">
        <v>31950</v>
      </c>
      <c r="E260" s="4"/>
      <c r="F260" s="9"/>
      <c r="G260" s="19">
        <f t="shared" si="12"/>
        <v>31950</v>
      </c>
      <c r="H260" s="4"/>
      <c r="I260" s="46"/>
    </row>
    <row r="261" spans="1:9" s="20" customFormat="1" ht="63" hidden="1">
      <c r="A261" s="454"/>
      <c r="B261" s="453"/>
      <c r="C261" s="4" t="s">
        <v>338</v>
      </c>
      <c r="D261" s="17">
        <v>5100</v>
      </c>
      <c r="E261" s="4"/>
      <c r="F261" s="9"/>
      <c r="G261" s="19">
        <f t="shared" si="12"/>
        <v>5100</v>
      </c>
      <c r="H261" s="4"/>
      <c r="I261" s="46"/>
    </row>
    <row r="262" spans="1:9" s="20" customFormat="1" ht="47.25" hidden="1">
      <c r="A262" s="454"/>
      <c r="B262" s="453"/>
      <c r="C262" s="4" t="s">
        <v>400</v>
      </c>
      <c r="D262" s="17">
        <v>0</v>
      </c>
      <c r="E262" s="4"/>
      <c r="F262" s="9"/>
      <c r="G262" s="19">
        <f t="shared" si="12"/>
        <v>0</v>
      </c>
      <c r="H262" s="4"/>
      <c r="I262" s="46"/>
    </row>
    <row r="263" spans="1:9" s="20" customFormat="1" ht="47.25" hidden="1">
      <c r="A263" s="454"/>
      <c r="B263" s="453"/>
      <c r="C263" s="4" t="s">
        <v>336</v>
      </c>
      <c r="D263" s="17">
        <v>21408</v>
      </c>
      <c r="E263" s="4"/>
      <c r="F263" s="9"/>
      <c r="G263" s="19">
        <f t="shared" si="12"/>
        <v>21408</v>
      </c>
      <c r="H263" s="4"/>
      <c r="I263" s="46"/>
    </row>
    <row r="264" spans="1:9" s="20" customFormat="1" ht="47.25">
      <c r="A264" s="22" t="s">
        <v>136</v>
      </c>
      <c r="B264" s="23" t="s">
        <v>44</v>
      </c>
      <c r="C264" s="4"/>
      <c r="D264" s="24">
        <f>D265+D266+D269+D270+D271+D272+D274+D275</f>
        <v>970596</v>
      </c>
      <c r="E264" s="23"/>
      <c r="F264" s="24">
        <f>F265+F266+F267+F268</f>
        <v>4568094</v>
      </c>
      <c r="G264" s="24">
        <f>D264+F264</f>
        <v>5538690</v>
      </c>
      <c r="H264" s="71"/>
      <c r="I264" s="46"/>
    </row>
    <row r="265" spans="1:9" s="20" customFormat="1" ht="45" customHeight="1" hidden="1">
      <c r="A265" s="18" t="s">
        <v>165</v>
      </c>
      <c r="B265" s="4" t="s">
        <v>166</v>
      </c>
      <c r="C265" s="4"/>
      <c r="D265" s="17"/>
      <c r="E265" s="4" t="s">
        <v>396</v>
      </c>
      <c r="F265" s="19">
        <v>27975</v>
      </c>
      <c r="G265" s="19">
        <f>F265</f>
        <v>27975</v>
      </c>
      <c r="H265" s="4"/>
      <c r="I265" s="46"/>
    </row>
    <row r="266" spans="1:9" s="20" customFormat="1" ht="56.25" customHeight="1">
      <c r="A266" s="18" t="s">
        <v>94</v>
      </c>
      <c r="B266" s="4" t="s">
        <v>95</v>
      </c>
      <c r="C266" s="4" t="s">
        <v>400</v>
      </c>
      <c r="D266" s="17">
        <v>710000</v>
      </c>
      <c r="E266" s="4" t="s">
        <v>400</v>
      </c>
      <c r="F266" s="19">
        <v>132173</v>
      </c>
      <c r="G266" s="19">
        <f>D266+F266</f>
        <v>842173</v>
      </c>
      <c r="H266" s="4">
        <v>132173</v>
      </c>
      <c r="I266" s="46"/>
    </row>
    <row r="267" spans="1:9" s="20" customFormat="1" ht="47.25" hidden="1">
      <c r="A267" s="18" t="s">
        <v>84</v>
      </c>
      <c r="B267" s="4" t="s">
        <v>85</v>
      </c>
      <c r="C267" s="4"/>
      <c r="D267" s="17"/>
      <c r="E267" s="4" t="s">
        <v>400</v>
      </c>
      <c r="F267" s="19">
        <v>4407946</v>
      </c>
      <c r="G267" s="19">
        <f>F267</f>
        <v>4407946</v>
      </c>
      <c r="H267" s="4"/>
      <c r="I267" s="46"/>
    </row>
    <row r="268" spans="1:9" s="20" customFormat="1" ht="99.75" customHeight="1" hidden="1">
      <c r="A268" s="18" t="s">
        <v>71</v>
      </c>
      <c r="B268" s="4" t="s">
        <v>221</v>
      </c>
      <c r="C268" s="4"/>
      <c r="D268" s="17"/>
      <c r="E268" s="70" t="s">
        <v>280</v>
      </c>
      <c r="F268" s="19">
        <v>0</v>
      </c>
      <c r="G268" s="19">
        <f>F268</f>
        <v>0</v>
      </c>
      <c r="H268" s="4"/>
      <c r="I268" s="46"/>
    </row>
    <row r="269" spans="1:9" s="20" customFormat="1" ht="47.25" hidden="1">
      <c r="A269" s="454" t="s">
        <v>77</v>
      </c>
      <c r="B269" s="453" t="s">
        <v>92</v>
      </c>
      <c r="C269" s="4" t="s">
        <v>337</v>
      </c>
      <c r="D269" s="17">
        <v>108138</v>
      </c>
      <c r="E269" s="4"/>
      <c r="F269" s="9"/>
      <c r="G269" s="19">
        <f>D269</f>
        <v>108138</v>
      </c>
      <c r="H269" s="4"/>
      <c r="I269" s="46"/>
    </row>
    <row r="270" spans="1:9" s="20" customFormat="1" ht="47.25" hidden="1">
      <c r="A270" s="454"/>
      <c r="B270" s="453"/>
      <c r="C270" s="4" t="s">
        <v>400</v>
      </c>
      <c r="D270" s="17">
        <v>66600</v>
      </c>
      <c r="E270" s="4"/>
      <c r="F270" s="9"/>
      <c r="G270" s="19">
        <f aca="true" t="shared" si="13" ref="G270:G275">D270</f>
        <v>66600</v>
      </c>
      <c r="H270" s="4"/>
      <c r="I270" s="46"/>
    </row>
    <row r="271" spans="1:9" s="20" customFormat="1" ht="47.25" hidden="1">
      <c r="A271" s="454"/>
      <c r="B271" s="453"/>
      <c r="C271" s="4" t="s">
        <v>371</v>
      </c>
      <c r="D271" s="17">
        <v>38505</v>
      </c>
      <c r="E271" s="4"/>
      <c r="F271" s="9"/>
      <c r="G271" s="19">
        <f t="shared" si="13"/>
        <v>38505</v>
      </c>
      <c r="H271" s="4"/>
      <c r="I271" s="46"/>
    </row>
    <row r="272" spans="1:9" s="20" customFormat="1" ht="63" hidden="1">
      <c r="A272" s="454"/>
      <c r="B272" s="453"/>
      <c r="C272" s="4" t="s">
        <v>338</v>
      </c>
      <c r="D272" s="17">
        <v>2756</v>
      </c>
      <c r="E272" s="4"/>
      <c r="F272" s="9"/>
      <c r="G272" s="19">
        <f t="shared" si="13"/>
        <v>2756</v>
      </c>
      <c r="H272" s="4"/>
      <c r="I272" s="46"/>
    </row>
    <row r="273" spans="1:9" s="20" customFormat="1" ht="21.75" customHeight="1" hidden="1">
      <c r="A273" s="454"/>
      <c r="B273" s="453"/>
      <c r="C273" s="4"/>
      <c r="D273" s="5"/>
      <c r="E273" s="4"/>
      <c r="F273" s="9"/>
      <c r="G273" s="19">
        <f t="shared" si="13"/>
        <v>0</v>
      </c>
      <c r="H273" s="4"/>
      <c r="I273" s="46"/>
    </row>
    <row r="274" spans="1:9" s="20" customFormat="1" ht="47.25" hidden="1">
      <c r="A274" s="454"/>
      <c r="B274" s="453"/>
      <c r="C274" s="4" t="s">
        <v>336</v>
      </c>
      <c r="D274" s="17">
        <f>18932+14100</f>
        <v>33032</v>
      </c>
      <c r="E274" s="4"/>
      <c r="F274" s="9"/>
      <c r="G274" s="19">
        <f t="shared" si="13"/>
        <v>33032</v>
      </c>
      <c r="H274" s="4"/>
      <c r="I274" s="46"/>
    </row>
    <row r="275" spans="1:9" s="20" customFormat="1" ht="66.75" customHeight="1" hidden="1">
      <c r="A275" s="454"/>
      <c r="B275" s="453"/>
      <c r="C275" s="4" t="s">
        <v>366</v>
      </c>
      <c r="D275" s="17">
        <v>11565</v>
      </c>
      <c r="E275" s="4"/>
      <c r="F275" s="9"/>
      <c r="G275" s="19">
        <f t="shared" si="13"/>
        <v>11565</v>
      </c>
      <c r="H275" s="4"/>
      <c r="I275" s="46"/>
    </row>
    <row r="276" spans="1:9" s="20" customFormat="1" ht="47.25">
      <c r="A276" s="22" t="s">
        <v>137</v>
      </c>
      <c r="B276" s="23" t="s">
        <v>45</v>
      </c>
      <c r="C276" s="4"/>
      <c r="D276" s="24">
        <f>D278+D280+D281+D282+D283+D284+D285</f>
        <v>663789</v>
      </c>
      <c r="E276" s="23"/>
      <c r="F276" s="24">
        <f>F277+F278+F279</f>
        <v>273375</v>
      </c>
      <c r="G276" s="28">
        <f>D276+F276</f>
        <v>937164</v>
      </c>
      <c r="H276" s="74"/>
      <c r="I276" s="46"/>
    </row>
    <row r="277" spans="1:9" s="20" customFormat="1" ht="31.5" hidden="1">
      <c r="A277" s="18" t="s">
        <v>165</v>
      </c>
      <c r="B277" s="4" t="s">
        <v>166</v>
      </c>
      <c r="C277" s="4"/>
      <c r="D277" s="17"/>
      <c r="E277" s="4" t="s">
        <v>396</v>
      </c>
      <c r="F277" s="19">
        <v>42375</v>
      </c>
      <c r="G277" s="19">
        <f>F277</f>
        <v>42375</v>
      </c>
      <c r="H277" s="23"/>
      <c r="I277" s="46"/>
    </row>
    <row r="278" spans="1:9" s="20" customFormat="1" ht="66" customHeight="1">
      <c r="A278" s="18" t="s">
        <v>94</v>
      </c>
      <c r="B278" s="4" t="s">
        <v>95</v>
      </c>
      <c r="C278" s="4" t="s">
        <v>400</v>
      </c>
      <c r="D278" s="17">
        <v>480000</v>
      </c>
      <c r="E278" s="4" t="s">
        <v>400</v>
      </c>
      <c r="F278" s="19">
        <v>10000</v>
      </c>
      <c r="G278" s="19">
        <f>D278+F278</f>
        <v>490000</v>
      </c>
      <c r="H278" s="4">
        <v>10000</v>
      </c>
      <c r="I278" s="46"/>
    </row>
    <row r="279" spans="1:9" s="20" customFormat="1" ht="55.5" customHeight="1" hidden="1">
      <c r="A279" s="18" t="s">
        <v>84</v>
      </c>
      <c r="B279" s="4" t="s">
        <v>85</v>
      </c>
      <c r="C279" s="4"/>
      <c r="D279" s="17"/>
      <c r="E279" s="4" t="s">
        <v>400</v>
      </c>
      <c r="F279" s="19">
        <v>221000</v>
      </c>
      <c r="G279" s="19">
        <f>F279</f>
        <v>221000</v>
      </c>
      <c r="H279" s="4"/>
      <c r="I279" s="46"/>
    </row>
    <row r="280" spans="1:9" s="20" customFormat="1" ht="47.25" hidden="1">
      <c r="A280" s="454" t="s">
        <v>77</v>
      </c>
      <c r="B280" s="453" t="s">
        <v>92</v>
      </c>
      <c r="C280" s="4" t="s">
        <v>337</v>
      </c>
      <c r="D280" s="17">
        <v>111797</v>
      </c>
      <c r="E280" s="4"/>
      <c r="F280" s="9"/>
      <c r="G280" s="19">
        <f aca="true" t="shared" si="14" ref="G280:G285">D280</f>
        <v>111797</v>
      </c>
      <c r="H280" s="4"/>
      <c r="I280" s="46"/>
    </row>
    <row r="281" spans="1:9" s="20" customFormat="1" ht="47.25" hidden="1">
      <c r="A281" s="454"/>
      <c r="B281" s="453"/>
      <c r="C281" s="4" t="s">
        <v>400</v>
      </c>
      <c r="D281" s="17">
        <v>16686</v>
      </c>
      <c r="E281" s="4"/>
      <c r="F281" s="9"/>
      <c r="G281" s="19">
        <f t="shared" si="14"/>
        <v>16686</v>
      </c>
      <c r="H281" s="4"/>
      <c r="I281" s="46"/>
    </row>
    <row r="282" spans="1:9" s="20" customFormat="1" ht="47.25" hidden="1">
      <c r="A282" s="454"/>
      <c r="B282" s="453"/>
      <c r="C282" s="4" t="s">
        <v>371</v>
      </c>
      <c r="D282" s="17">
        <v>26015</v>
      </c>
      <c r="E282" s="4"/>
      <c r="F282" s="9"/>
      <c r="G282" s="19">
        <f t="shared" si="14"/>
        <v>26015</v>
      </c>
      <c r="H282" s="4"/>
      <c r="I282" s="46"/>
    </row>
    <row r="283" spans="1:9" s="20" customFormat="1" ht="63" hidden="1">
      <c r="A283" s="454"/>
      <c r="B283" s="453"/>
      <c r="C283" s="4" t="s">
        <v>338</v>
      </c>
      <c r="D283" s="17">
        <v>4133</v>
      </c>
      <c r="E283" s="4"/>
      <c r="F283" s="9"/>
      <c r="G283" s="19">
        <f t="shared" si="14"/>
        <v>4133</v>
      </c>
      <c r="H283" s="4"/>
      <c r="I283" s="46"/>
    </row>
    <row r="284" spans="1:9" s="20" customFormat="1" ht="47.25" hidden="1">
      <c r="A284" s="454"/>
      <c r="B284" s="453"/>
      <c r="C284" s="4" t="s">
        <v>336</v>
      </c>
      <c r="D284" s="17">
        <v>23096</v>
      </c>
      <c r="E284" s="4"/>
      <c r="F284" s="9"/>
      <c r="G284" s="19">
        <f t="shared" si="14"/>
        <v>23096</v>
      </c>
      <c r="H284" s="4"/>
      <c r="I284" s="46"/>
    </row>
    <row r="285" spans="1:9" s="20" customFormat="1" ht="63.75" customHeight="1" hidden="1">
      <c r="A285" s="454"/>
      <c r="B285" s="453"/>
      <c r="C285" s="4" t="s">
        <v>366</v>
      </c>
      <c r="D285" s="17">
        <v>2062</v>
      </c>
      <c r="E285" s="4"/>
      <c r="F285" s="9"/>
      <c r="G285" s="19">
        <f t="shared" si="14"/>
        <v>2062</v>
      </c>
      <c r="H285" s="4"/>
      <c r="I285" s="46"/>
    </row>
    <row r="286" spans="1:9" s="33" customFormat="1" ht="47.25" hidden="1">
      <c r="A286" s="22" t="s">
        <v>138</v>
      </c>
      <c r="B286" s="23" t="s">
        <v>46</v>
      </c>
      <c r="C286" s="23"/>
      <c r="D286" s="24">
        <f>D288+D290+D292+D294+D296+D297+D298+D299+D300+D301</f>
        <v>1140260</v>
      </c>
      <c r="E286" s="23"/>
      <c r="F286" s="24">
        <f>F289+F293</f>
        <v>77975</v>
      </c>
      <c r="G286" s="24">
        <f>D286+F286</f>
        <v>1218235</v>
      </c>
      <c r="H286" s="74"/>
      <c r="I286" s="46"/>
    </row>
    <row r="287" spans="1:9" s="33" customFormat="1" ht="55.5" customHeight="1" hidden="1">
      <c r="A287" s="18" t="s">
        <v>165</v>
      </c>
      <c r="B287" s="4" t="s">
        <v>166</v>
      </c>
      <c r="C287" s="4" t="s">
        <v>172</v>
      </c>
      <c r="D287" s="17"/>
      <c r="E287" s="4" t="s">
        <v>172</v>
      </c>
      <c r="F287" s="19"/>
      <c r="G287" s="19">
        <v>0</v>
      </c>
      <c r="H287" s="23"/>
      <c r="I287" s="46"/>
    </row>
    <row r="288" spans="1:9" s="33" customFormat="1" ht="69" customHeight="1" hidden="1">
      <c r="A288" s="458" t="s">
        <v>165</v>
      </c>
      <c r="B288" s="456" t="s">
        <v>166</v>
      </c>
      <c r="C288" s="4" t="s">
        <v>366</v>
      </c>
      <c r="D288" s="17">
        <v>7791</v>
      </c>
      <c r="E288" s="4"/>
      <c r="F288" s="19"/>
      <c r="G288" s="19">
        <f>D288</f>
        <v>7791</v>
      </c>
      <c r="H288" s="23"/>
      <c r="I288" s="46"/>
    </row>
    <row r="289" spans="1:9" s="33" customFormat="1" ht="54.75" customHeight="1" hidden="1">
      <c r="A289" s="459"/>
      <c r="B289" s="457"/>
      <c r="C289" s="4"/>
      <c r="D289" s="17"/>
      <c r="E289" s="4" t="s">
        <v>396</v>
      </c>
      <c r="F289" s="19">
        <v>27975</v>
      </c>
      <c r="G289" s="19">
        <f>F289</f>
        <v>27975</v>
      </c>
      <c r="H289" s="23"/>
      <c r="I289" s="46"/>
    </row>
    <row r="290" spans="1:9" s="20" customFormat="1" ht="49.5" customHeight="1" hidden="1">
      <c r="A290" s="454" t="s">
        <v>94</v>
      </c>
      <c r="B290" s="453" t="s">
        <v>95</v>
      </c>
      <c r="C290" s="4" t="s">
        <v>400</v>
      </c>
      <c r="D290" s="17">
        <v>768655</v>
      </c>
      <c r="E290" s="4"/>
      <c r="F290" s="19"/>
      <c r="G290" s="19">
        <f>D290</f>
        <v>768655</v>
      </c>
      <c r="H290" s="4"/>
      <c r="I290" s="46"/>
    </row>
    <row r="291" spans="1:9" s="20" customFormat="1" ht="47.25" hidden="1">
      <c r="A291" s="454"/>
      <c r="B291" s="453"/>
      <c r="C291" s="4"/>
      <c r="D291" s="17"/>
      <c r="E291" s="35" t="s">
        <v>264</v>
      </c>
      <c r="F291" s="39">
        <v>0</v>
      </c>
      <c r="G291" s="39">
        <v>0</v>
      </c>
      <c r="H291" s="4"/>
      <c r="I291" s="46"/>
    </row>
    <row r="292" spans="1:9" s="20" customFormat="1" ht="47.25" hidden="1">
      <c r="A292" s="18" t="s">
        <v>237</v>
      </c>
      <c r="B292" s="4" t="s">
        <v>92</v>
      </c>
      <c r="C292" s="4" t="s">
        <v>259</v>
      </c>
      <c r="D292" s="17">
        <v>0</v>
      </c>
      <c r="E292" s="4"/>
      <c r="F292" s="19"/>
      <c r="G292" s="19">
        <f>D292</f>
        <v>0</v>
      </c>
      <c r="H292" s="4"/>
      <c r="I292" s="46"/>
    </row>
    <row r="293" spans="1:9" s="20" customFormat="1" ht="93.75" customHeight="1" hidden="1">
      <c r="A293" s="18" t="s">
        <v>71</v>
      </c>
      <c r="B293" s="4" t="s">
        <v>221</v>
      </c>
      <c r="C293" s="4"/>
      <c r="D293" s="17"/>
      <c r="E293" s="4" t="s">
        <v>356</v>
      </c>
      <c r="F293" s="19">
        <v>50000</v>
      </c>
      <c r="G293" s="19">
        <f>F293</f>
        <v>50000</v>
      </c>
      <c r="H293" s="4"/>
      <c r="I293" s="46"/>
    </row>
    <row r="294" spans="1:9" s="20" customFormat="1" ht="47.25" hidden="1">
      <c r="A294" s="454" t="s">
        <v>77</v>
      </c>
      <c r="B294" s="453" t="s">
        <v>92</v>
      </c>
      <c r="C294" s="4" t="s">
        <v>337</v>
      </c>
      <c r="D294" s="17">
        <v>245113</v>
      </c>
      <c r="E294" s="4"/>
      <c r="F294" s="9"/>
      <c r="G294" s="19">
        <f>D294</f>
        <v>245113</v>
      </c>
      <c r="H294" s="4"/>
      <c r="I294" s="46"/>
    </row>
    <row r="295" spans="1:9" s="20" customFormat="1" ht="21" customHeight="1" hidden="1">
      <c r="A295" s="454"/>
      <c r="B295" s="453"/>
      <c r="C295" s="4"/>
      <c r="D295" s="17"/>
      <c r="E295" s="4"/>
      <c r="F295" s="9"/>
      <c r="G295" s="19">
        <f aca="true" t="shared" si="15" ref="G295:G301">D295</f>
        <v>0</v>
      </c>
      <c r="H295" s="4"/>
      <c r="I295" s="46"/>
    </row>
    <row r="296" spans="1:9" s="20" customFormat="1" ht="15.75" hidden="1">
      <c r="A296" s="454"/>
      <c r="B296" s="453"/>
      <c r="C296" s="4"/>
      <c r="D296" s="17">
        <v>0</v>
      </c>
      <c r="E296" s="4"/>
      <c r="F296" s="9"/>
      <c r="G296" s="19">
        <f t="shared" si="15"/>
        <v>0</v>
      </c>
      <c r="H296" s="4"/>
      <c r="I296" s="46"/>
    </row>
    <row r="297" spans="1:9" s="20" customFormat="1" ht="47.25" hidden="1">
      <c r="A297" s="454"/>
      <c r="B297" s="453"/>
      <c r="C297" s="4" t="s">
        <v>371</v>
      </c>
      <c r="D297" s="17">
        <v>63468</v>
      </c>
      <c r="E297" s="4"/>
      <c r="F297" s="9"/>
      <c r="G297" s="19">
        <f t="shared" si="15"/>
        <v>63468</v>
      </c>
      <c r="H297" s="4"/>
      <c r="I297" s="46"/>
    </row>
    <row r="298" spans="1:9" s="20" customFormat="1" ht="63" hidden="1">
      <c r="A298" s="454"/>
      <c r="B298" s="453"/>
      <c r="C298" s="4" t="s">
        <v>338</v>
      </c>
      <c r="D298" s="17">
        <v>3100</v>
      </c>
      <c r="E298" s="4"/>
      <c r="F298" s="9"/>
      <c r="G298" s="19">
        <f t="shared" si="15"/>
        <v>3100</v>
      </c>
      <c r="H298" s="4"/>
      <c r="I298" s="46"/>
    </row>
    <row r="299" spans="1:9" s="20" customFormat="1" ht="47.25" hidden="1">
      <c r="A299" s="454"/>
      <c r="B299" s="453"/>
      <c r="C299" s="4" t="s">
        <v>336</v>
      </c>
      <c r="D299" s="17">
        <v>18610</v>
      </c>
      <c r="E299" s="4"/>
      <c r="F299" s="9"/>
      <c r="G299" s="19">
        <f t="shared" si="15"/>
        <v>18610</v>
      </c>
      <c r="H299" s="4"/>
      <c r="I299" s="46"/>
    </row>
    <row r="300" spans="1:9" s="20" customFormat="1" ht="47.25" hidden="1">
      <c r="A300" s="454"/>
      <c r="B300" s="453"/>
      <c r="C300" s="4" t="s">
        <v>400</v>
      </c>
      <c r="D300" s="17">
        <v>32058</v>
      </c>
      <c r="E300" s="4"/>
      <c r="F300" s="9"/>
      <c r="G300" s="19">
        <f t="shared" si="15"/>
        <v>32058</v>
      </c>
      <c r="H300" s="4"/>
      <c r="I300" s="46"/>
    </row>
    <row r="301" spans="1:9" s="20" customFormat="1" ht="65.25" customHeight="1" hidden="1">
      <c r="A301" s="454"/>
      <c r="B301" s="453"/>
      <c r="C301" s="4" t="s">
        <v>366</v>
      </c>
      <c r="D301" s="17">
        <v>1465</v>
      </c>
      <c r="E301" s="4"/>
      <c r="F301" s="9"/>
      <c r="G301" s="19">
        <f t="shared" si="15"/>
        <v>1465</v>
      </c>
      <c r="H301" s="4"/>
      <c r="I301" s="46"/>
    </row>
    <row r="302" spans="1:9" s="33" customFormat="1" ht="47.25" hidden="1">
      <c r="A302" s="22" t="s">
        <v>139</v>
      </c>
      <c r="B302" s="23" t="s">
        <v>47</v>
      </c>
      <c r="C302" s="23"/>
      <c r="D302" s="24">
        <f>D305+D307+D309+D310+D311+D312+D313</f>
        <v>828027</v>
      </c>
      <c r="E302" s="23"/>
      <c r="F302" s="24">
        <f>F303+F304+F305+F306</f>
        <v>80975</v>
      </c>
      <c r="G302" s="28">
        <f>D302+F302</f>
        <v>909002</v>
      </c>
      <c r="H302" s="74"/>
      <c r="I302" s="46"/>
    </row>
    <row r="303" spans="1:9" s="33" customFormat="1" ht="49.5" customHeight="1" hidden="1">
      <c r="A303" s="18" t="s">
        <v>165</v>
      </c>
      <c r="B303" s="4" t="s">
        <v>166</v>
      </c>
      <c r="C303" s="4"/>
      <c r="D303" s="17"/>
      <c r="E303" s="4" t="s">
        <v>396</v>
      </c>
      <c r="F303" s="19">
        <v>27975</v>
      </c>
      <c r="G303" s="19">
        <f>F303</f>
        <v>27975</v>
      </c>
      <c r="H303" s="23"/>
      <c r="I303" s="46"/>
    </row>
    <row r="304" spans="1:9" s="33" customFormat="1" ht="49.5" customHeight="1" hidden="1">
      <c r="A304" s="18" t="s">
        <v>84</v>
      </c>
      <c r="B304" s="4" t="s">
        <v>85</v>
      </c>
      <c r="C304" s="4"/>
      <c r="D304" s="17"/>
      <c r="E304" s="4" t="s">
        <v>400</v>
      </c>
      <c r="F304" s="19">
        <v>3000</v>
      </c>
      <c r="G304" s="19">
        <f>F304</f>
        <v>3000</v>
      </c>
      <c r="H304" s="23"/>
      <c r="I304" s="46"/>
    </row>
    <row r="305" spans="1:9" s="20" customFormat="1" ht="48" customHeight="1" hidden="1">
      <c r="A305" s="18" t="s">
        <v>94</v>
      </c>
      <c r="B305" s="4" t="s">
        <v>95</v>
      </c>
      <c r="C305" s="4" t="s">
        <v>400</v>
      </c>
      <c r="D305" s="17">
        <v>650000</v>
      </c>
      <c r="E305" s="4"/>
      <c r="F305" s="19"/>
      <c r="G305" s="19">
        <f>D305+F305</f>
        <v>650000</v>
      </c>
      <c r="H305" s="4"/>
      <c r="I305" s="46"/>
    </row>
    <row r="306" spans="1:9" s="20" customFormat="1" ht="93.75" customHeight="1" hidden="1">
      <c r="A306" s="18" t="s">
        <v>71</v>
      </c>
      <c r="B306" s="4" t="s">
        <v>221</v>
      </c>
      <c r="C306" s="4"/>
      <c r="D306" s="17"/>
      <c r="E306" s="4" t="s">
        <v>356</v>
      </c>
      <c r="F306" s="19">
        <v>50000</v>
      </c>
      <c r="G306" s="19">
        <f>F306</f>
        <v>50000</v>
      </c>
      <c r="H306" s="4"/>
      <c r="I306" s="46"/>
    </row>
    <row r="307" spans="1:9" s="20" customFormat="1" ht="47.25" hidden="1">
      <c r="A307" s="454" t="s">
        <v>77</v>
      </c>
      <c r="B307" s="453" t="s">
        <v>92</v>
      </c>
      <c r="C307" s="4" t="s">
        <v>337</v>
      </c>
      <c r="D307" s="17">
        <v>72092</v>
      </c>
      <c r="E307" s="4"/>
      <c r="F307" s="9"/>
      <c r="G307" s="19">
        <f aca="true" t="shared" si="16" ref="G307:G313">D307</f>
        <v>72092</v>
      </c>
      <c r="H307" s="4"/>
      <c r="I307" s="46"/>
    </row>
    <row r="308" spans="1:9" s="20" customFormat="1" ht="30.75" customHeight="1" hidden="1">
      <c r="A308" s="454"/>
      <c r="B308" s="453"/>
      <c r="C308" s="4"/>
      <c r="D308" s="17"/>
      <c r="E308" s="4"/>
      <c r="F308" s="9"/>
      <c r="G308" s="19">
        <f t="shared" si="16"/>
        <v>0</v>
      </c>
      <c r="H308" s="4"/>
      <c r="I308" s="46"/>
    </row>
    <row r="309" spans="1:9" s="20" customFormat="1" ht="47.25" hidden="1">
      <c r="A309" s="454"/>
      <c r="B309" s="453"/>
      <c r="C309" s="4" t="s">
        <v>371</v>
      </c>
      <c r="D309" s="17">
        <v>43038</v>
      </c>
      <c r="E309" s="4"/>
      <c r="F309" s="9"/>
      <c r="G309" s="19">
        <f t="shared" si="16"/>
        <v>43038</v>
      </c>
      <c r="H309" s="4"/>
      <c r="I309" s="46"/>
    </row>
    <row r="310" spans="1:9" s="20" customFormat="1" ht="63" hidden="1">
      <c r="A310" s="454"/>
      <c r="B310" s="453"/>
      <c r="C310" s="4" t="s">
        <v>338</v>
      </c>
      <c r="D310" s="17">
        <v>2067</v>
      </c>
      <c r="E310" s="4"/>
      <c r="F310" s="9"/>
      <c r="G310" s="19">
        <f t="shared" si="16"/>
        <v>2067</v>
      </c>
      <c r="H310" s="4"/>
      <c r="I310" s="46"/>
    </row>
    <row r="311" spans="1:9" s="20" customFormat="1" ht="47.25" hidden="1">
      <c r="A311" s="454"/>
      <c r="B311" s="453"/>
      <c r="C311" s="4" t="s">
        <v>336</v>
      </c>
      <c r="D311" s="17">
        <v>26781</v>
      </c>
      <c r="E311" s="4"/>
      <c r="F311" s="9"/>
      <c r="G311" s="19">
        <f t="shared" si="16"/>
        <v>26781</v>
      </c>
      <c r="H311" s="4"/>
      <c r="I311" s="46"/>
    </row>
    <row r="312" spans="1:9" s="20" customFormat="1" ht="47.25" hidden="1">
      <c r="A312" s="454"/>
      <c r="B312" s="453"/>
      <c r="C312" s="4" t="s">
        <v>400</v>
      </c>
      <c r="D312" s="17">
        <v>33132</v>
      </c>
      <c r="E312" s="4"/>
      <c r="F312" s="9"/>
      <c r="G312" s="19">
        <f t="shared" si="16"/>
        <v>33132</v>
      </c>
      <c r="H312" s="4"/>
      <c r="I312" s="46"/>
    </row>
    <row r="313" spans="1:9" s="20" customFormat="1" ht="69" customHeight="1" hidden="1">
      <c r="A313" s="454"/>
      <c r="B313" s="453"/>
      <c r="C313" s="4" t="s">
        <v>366</v>
      </c>
      <c r="D313" s="17">
        <v>917</v>
      </c>
      <c r="E313" s="4"/>
      <c r="F313" s="9"/>
      <c r="G313" s="19">
        <f t="shared" si="16"/>
        <v>917</v>
      </c>
      <c r="H313" s="4"/>
      <c r="I313" s="46"/>
    </row>
    <row r="314" spans="1:9" s="20" customFormat="1" ht="46.5" customHeight="1" hidden="1">
      <c r="A314" s="22" t="s">
        <v>140</v>
      </c>
      <c r="B314" s="23" t="s">
        <v>48</v>
      </c>
      <c r="C314" s="4"/>
      <c r="D314" s="24">
        <f>D315+D317+D318+D320+D321+D323+D324+D325</f>
        <v>745594</v>
      </c>
      <c r="E314" s="4"/>
      <c r="F314" s="24">
        <f>F316</f>
        <v>27975</v>
      </c>
      <c r="G314" s="24">
        <f>D314+F314</f>
        <v>773569</v>
      </c>
      <c r="H314" s="71"/>
      <c r="I314" s="46"/>
    </row>
    <row r="315" spans="1:9" s="20" customFormat="1" ht="67.5" customHeight="1" hidden="1">
      <c r="A315" s="454" t="s">
        <v>165</v>
      </c>
      <c r="B315" s="453" t="s">
        <v>166</v>
      </c>
      <c r="C315" s="4" t="s">
        <v>366</v>
      </c>
      <c r="D315" s="17">
        <v>339</v>
      </c>
      <c r="E315" s="4"/>
      <c r="F315" s="24"/>
      <c r="G315" s="19">
        <f>D315</f>
        <v>339</v>
      </c>
      <c r="H315" s="71"/>
      <c r="I315" s="46"/>
    </row>
    <row r="316" spans="1:9" s="20" customFormat="1" ht="64.5" customHeight="1" hidden="1">
      <c r="A316" s="454"/>
      <c r="B316" s="453"/>
      <c r="C316" s="4"/>
      <c r="D316" s="17"/>
      <c r="E316" s="4" t="s">
        <v>396</v>
      </c>
      <c r="F316" s="19">
        <v>27975</v>
      </c>
      <c r="G316" s="19">
        <f>F316</f>
        <v>27975</v>
      </c>
      <c r="H316" s="4"/>
      <c r="I316" s="46"/>
    </row>
    <row r="317" spans="1:9" s="20" customFormat="1" ht="45.75" customHeight="1" hidden="1">
      <c r="A317" s="18" t="s">
        <v>94</v>
      </c>
      <c r="B317" s="4" t="s">
        <v>95</v>
      </c>
      <c r="C317" s="4" t="s">
        <v>400</v>
      </c>
      <c r="D317" s="17">
        <v>527000</v>
      </c>
      <c r="E317" s="4"/>
      <c r="F317" s="19"/>
      <c r="G317" s="19">
        <f>D317</f>
        <v>527000</v>
      </c>
      <c r="H317" s="4"/>
      <c r="I317" s="46"/>
    </row>
    <row r="318" spans="1:9" s="20" customFormat="1" ht="47.25" hidden="1">
      <c r="A318" s="454" t="s">
        <v>77</v>
      </c>
      <c r="B318" s="453" t="s">
        <v>92</v>
      </c>
      <c r="C318" s="4" t="s">
        <v>337</v>
      </c>
      <c r="D318" s="17">
        <v>100929</v>
      </c>
      <c r="E318" s="4"/>
      <c r="F318" s="9"/>
      <c r="G318" s="19">
        <f aca="true" t="shared" si="17" ref="G318:G325">D318</f>
        <v>100929</v>
      </c>
      <c r="H318" s="4"/>
      <c r="I318" s="46"/>
    </row>
    <row r="319" spans="1:9" s="20" customFormat="1" ht="15.75" customHeight="1" hidden="1">
      <c r="A319" s="454"/>
      <c r="B319" s="453"/>
      <c r="C319" s="4"/>
      <c r="D319" s="17"/>
      <c r="E319" s="4"/>
      <c r="F319" s="19">
        <v>0</v>
      </c>
      <c r="G319" s="19">
        <f t="shared" si="17"/>
        <v>0</v>
      </c>
      <c r="H319" s="4"/>
      <c r="I319" s="46"/>
    </row>
    <row r="320" spans="1:9" s="20" customFormat="1" ht="47.25" hidden="1">
      <c r="A320" s="454"/>
      <c r="B320" s="453"/>
      <c r="C320" s="4" t="s">
        <v>371</v>
      </c>
      <c r="D320" s="17">
        <v>60000</v>
      </c>
      <c r="E320" s="4"/>
      <c r="F320" s="9"/>
      <c r="G320" s="19">
        <f t="shared" si="17"/>
        <v>60000</v>
      </c>
      <c r="H320" s="4"/>
      <c r="I320" s="46"/>
    </row>
    <row r="321" spans="1:9" s="20" customFormat="1" ht="63" hidden="1">
      <c r="A321" s="454"/>
      <c r="B321" s="453"/>
      <c r="C321" s="4" t="s">
        <v>338</v>
      </c>
      <c r="D321" s="17">
        <v>3500</v>
      </c>
      <c r="E321" s="4"/>
      <c r="F321" s="9"/>
      <c r="G321" s="19">
        <f t="shared" si="17"/>
        <v>3500</v>
      </c>
      <c r="H321" s="4"/>
      <c r="I321" s="46"/>
    </row>
    <row r="322" spans="1:9" s="20" customFormat="1" ht="24.75" customHeight="1" hidden="1">
      <c r="A322" s="454"/>
      <c r="B322" s="453"/>
      <c r="C322" s="4"/>
      <c r="D322" s="5"/>
      <c r="E322" s="4"/>
      <c r="F322" s="9"/>
      <c r="G322" s="19">
        <f t="shared" si="17"/>
        <v>0</v>
      </c>
      <c r="H322" s="4"/>
      <c r="I322" s="46"/>
    </row>
    <row r="323" spans="1:9" s="20" customFormat="1" ht="47.25" hidden="1">
      <c r="A323" s="454"/>
      <c r="B323" s="453"/>
      <c r="C323" s="4" t="s">
        <v>336</v>
      </c>
      <c r="D323" s="17">
        <v>19000</v>
      </c>
      <c r="E323" s="4"/>
      <c r="F323" s="9"/>
      <c r="G323" s="19">
        <f t="shared" si="17"/>
        <v>19000</v>
      </c>
      <c r="H323" s="4"/>
      <c r="I323" s="46"/>
    </row>
    <row r="324" spans="1:9" s="20" customFormat="1" ht="47.25" hidden="1">
      <c r="A324" s="454"/>
      <c r="B324" s="453"/>
      <c r="C324" s="4" t="s">
        <v>400</v>
      </c>
      <c r="D324" s="17">
        <v>32792</v>
      </c>
      <c r="E324" s="4"/>
      <c r="F324" s="9"/>
      <c r="G324" s="19">
        <f t="shared" si="17"/>
        <v>32792</v>
      </c>
      <c r="H324" s="4"/>
      <c r="I324" s="46"/>
    </row>
    <row r="325" spans="1:9" s="20" customFormat="1" ht="68.25" customHeight="1" hidden="1">
      <c r="A325" s="454"/>
      <c r="B325" s="453"/>
      <c r="C325" s="4" t="s">
        <v>366</v>
      </c>
      <c r="D325" s="17">
        <v>2034</v>
      </c>
      <c r="E325" s="4"/>
      <c r="F325" s="9"/>
      <c r="G325" s="19">
        <f t="shared" si="17"/>
        <v>2034</v>
      </c>
      <c r="H325" s="4"/>
      <c r="I325" s="46"/>
    </row>
    <row r="326" spans="1:11" s="34" customFormat="1" ht="15.75" hidden="1">
      <c r="A326" s="23"/>
      <c r="B326" s="23" t="s">
        <v>66</v>
      </c>
      <c r="C326" s="23"/>
      <c r="D326" s="28">
        <f>D11+D31+D73+D97+D125+D148+D153+D155+D185+D188+D196+D199+D204+D216+D221+D227+D233+D237+D252+D264+D276+D286+D302+D314</f>
        <v>220295134</v>
      </c>
      <c r="E326" s="27"/>
      <c r="F326" s="28">
        <f>F11+F31+F73+F97+F125+F148+F153+F155+F185+F188+F196+F199+F204+F216+F221+F227+F233+F237+F252+F264+F276+F286+F302+F314</f>
        <v>205915535</v>
      </c>
      <c r="G326" s="28">
        <f>D326+F326</f>
        <v>426210669</v>
      </c>
      <c r="H326" s="9"/>
      <c r="I326" s="46"/>
      <c r="K326" s="45"/>
    </row>
    <row r="327" spans="1:8" ht="15" customHeight="1" hidden="1">
      <c r="A327" s="65"/>
      <c r="B327" s="65"/>
      <c r="C327" s="65"/>
      <c r="D327" s="65"/>
      <c r="E327" s="65"/>
      <c r="F327" s="65"/>
      <c r="G327" s="65"/>
      <c r="H327" s="63"/>
    </row>
    <row r="328" spans="1:6" s="11" customFormat="1" ht="35.25" customHeight="1" hidden="1">
      <c r="A328" s="466" t="s">
        <v>200</v>
      </c>
      <c r="B328" s="466"/>
      <c r="C328" s="66"/>
      <c r="D328" s="67"/>
      <c r="E328" s="54"/>
      <c r="F328" s="57" t="s">
        <v>201</v>
      </c>
    </row>
    <row r="329" spans="4:7" ht="18" customHeight="1" hidden="1">
      <c r="D329" s="10"/>
      <c r="F329" s="34"/>
      <c r="G329" s="45"/>
    </row>
    <row r="330" spans="4:7" ht="18" customHeight="1" hidden="1">
      <c r="D330" s="10"/>
      <c r="F330" s="34"/>
      <c r="G330" s="45"/>
    </row>
    <row r="331" ht="18" customHeight="1" hidden="1"/>
    <row r="332" spans="4:9" ht="18" customHeight="1" hidden="1">
      <c r="D332" s="10"/>
      <c r="F332" s="41"/>
      <c r="G332" s="42"/>
      <c r="H332" s="41"/>
      <c r="I332" s="10"/>
    </row>
    <row r="333" spans="4:6" ht="18" customHeight="1" hidden="1">
      <c r="D333" s="10"/>
      <c r="F333" s="10"/>
    </row>
    <row r="334" spans="1:6" ht="18" customHeight="1" hidden="1">
      <c r="A334" s="1">
        <v>250404</v>
      </c>
      <c r="B334" s="1" t="s">
        <v>341</v>
      </c>
      <c r="D334" s="10">
        <f>D318+D307+D294+D280+D269+D258+D244</f>
        <v>803906</v>
      </c>
      <c r="F334" s="10"/>
    </row>
    <row r="335" spans="2:6" ht="15.75" hidden="1">
      <c r="B335" s="1" t="s">
        <v>342</v>
      </c>
      <c r="D335" s="10">
        <f>D321+D310+D298+D283+D272+D261+D247</f>
        <v>25756</v>
      </c>
      <c r="F335" s="10"/>
    </row>
    <row r="336" spans="2:6" ht="15.75" hidden="1">
      <c r="B336" s="1" t="s">
        <v>343</v>
      </c>
      <c r="C336" s="3"/>
      <c r="D336" s="10">
        <f>D323+D311+D299+D284+D274+D263+D250</f>
        <v>167225</v>
      </c>
      <c r="F336" s="10"/>
    </row>
    <row r="337" spans="2:6" ht="15.75" hidden="1">
      <c r="B337" s="1" t="s">
        <v>344</v>
      </c>
      <c r="D337" s="10">
        <f>D320+D309+D297+D282+D271+D260+D246</f>
        <v>496776</v>
      </c>
      <c r="F337" s="10"/>
    </row>
    <row r="338" spans="2:6" ht="15.75" hidden="1">
      <c r="B338" s="1" t="s">
        <v>345</v>
      </c>
      <c r="D338" s="10">
        <f>D325+D313+D301+D285+D275+D251+D315+D288+D229+D220+D187+D157+D143+D139+D137+D134+D131+D128+D109+D101++D100+D90+D79+D74+D13+D136+D33+D36+D42+D44+D50+D51+D53+D55+D56+D63+D65</f>
        <v>757108</v>
      </c>
      <c r="F338" s="10"/>
    </row>
    <row r="339" spans="2:6" ht="15.75" hidden="1">
      <c r="B339" s="1" t="s">
        <v>346</v>
      </c>
      <c r="D339" s="10">
        <f>D324+D312+D300+D281+D270+D262+D245</f>
        <v>247576</v>
      </c>
      <c r="F339" s="10"/>
    </row>
    <row r="340" ht="15.75" hidden="1">
      <c r="F340" s="10"/>
    </row>
    <row r="341" ht="15.75" hidden="1">
      <c r="F341" s="10"/>
    </row>
    <row r="342" spans="2:6" ht="15.75" hidden="1">
      <c r="B342" s="1" t="s">
        <v>349</v>
      </c>
      <c r="D342" s="10">
        <f>D151</f>
        <v>120711</v>
      </c>
      <c r="F342" s="10"/>
    </row>
    <row r="343" spans="2:6" ht="15.75" hidden="1">
      <c r="B343" s="1" t="s">
        <v>350</v>
      </c>
      <c r="D343" s="10">
        <f>D106+D180</f>
        <v>680000</v>
      </c>
      <c r="E343" s="1" t="s">
        <v>351</v>
      </c>
      <c r="F343" s="10">
        <f>F106</f>
        <v>24192</v>
      </c>
    </row>
    <row r="344" spans="2:6" ht="15.75" hidden="1">
      <c r="B344" s="1" t="s">
        <v>352</v>
      </c>
      <c r="D344" s="10">
        <f>D232</f>
        <v>33000</v>
      </c>
      <c r="F344" s="10"/>
    </row>
    <row r="345" spans="2:6" ht="15.75" hidden="1">
      <c r="B345" s="1" t="s">
        <v>354</v>
      </c>
      <c r="D345" s="10">
        <f>D26</f>
        <v>3348800</v>
      </c>
      <c r="F345" s="10"/>
    </row>
    <row r="346" spans="2:6" ht="15.75" hidden="1">
      <c r="B346" s="1" t="s">
        <v>357</v>
      </c>
      <c r="D346" s="10">
        <f>D14</f>
        <v>480000</v>
      </c>
      <c r="F346" s="10"/>
    </row>
    <row r="347" spans="2:6" ht="15.75" hidden="1">
      <c r="B347" s="1" t="s">
        <v>360</v>
      </c>
      <c r="D347" s="10">
        <f>D23</f>
        <v>304955</v>
      </c>
      <c r="F347" s="10"/>
    </row>
    <row r="348" spans="2:6" ht="15.75" hidden="1">
      <c r="B348" s="1" t="s">
        <v>361</v>
      </c>
      <c r="D348" s="10">
        <f>D24</f>
        <v>209200</v>
      </c>
      <c r="F348" s="10">
        <f>F16</f>
        <v>415760</v>
      </c>
    </row>
    <row r="349" spans="2:6" ht="15.75" hidden="1">
      <c r="B349" s="1" t="s">
        <v>362</v>
      </c>
      <c r="D349" s="10">
        <f>D206</f>
        <v>2300000</v>
      </c>
      <c r="F349" s="10"/>
    </row>
    <row r="350" spans="2:8" ht="15.75" hidden="1">
      <c r="B350" s="1" t="s">
        <v>363</v>
      </c>
      <c r="D350" s="10">
        <f>D152</f>
        <v>108000</v>
      </c>
      <c r="E350" s="7"/>
      <c r="F350" s="10"/>
      <c r="H350" s="10"/>
    </row>
    <row r="351" spans="2:6" ht="15.75" hidden="1">
      <c r="B351" s="1" t="s">
        <v>368</v>
      </c>
      <c r="D351" s="10">
        <f>D190</f>
        <v>24055</v>
      </c>
      <c r="F351" s="1">
        <f>F190</f>
        <v>1550464</v>
      </c>
    </row>
    <row r="352" spans="2:7" ht="15.75" hidden="1">
      <c r="B352" s="1" t="s">
        <v>369</v>
      </c>
      <c r="C352" s="43"/>
      <c r="D352" s="44"/>
      <c r="E352" s="43"/>
      <c r="F352" s="10">
        <f>F191</f>
        <v>100487</v>
      </c>
      <c r="G352" s="43"/>
    </row>
    <row r="353" spans="2:7" ht="15.75" hidden="1">
      <c r="B353" s="1" t="s">
        <v>370</v>
      </c>
      <c r="C353" s="43"/>
      <c r="D353" s="10">
        <f>D192</f>
        <v>2910648</v>
      </c>
      <c r="E353" s="43"/>
      <c r="F353" s="44"/>
      <c r="G353" s="43"/>
    </row>
    <row r="354" spans="2:7" ht="15.75" hidden="1">
      <c r="B354" s="1" t="s">
        <v>364</v>
      </c>
      <c r="C354" s="43"/>
      <c r="D354" s="43"/>
      <c r="E354" s="43"/>
      <c r="F354" s="10">
        <f>F306+F293+F21</f>
        <v>300000</v>
      </c>
      <c r="G354" s="44"/>
    </row>
    <row r="355" ht="15.75" hidden="1"/>
    <row r="356" ht="15.75" hidden="1"/>
    <row r="357" spans="2:6" ht="15.75" hidden="1">
      <c r="B357" s="1" t="s">
        <v>372</v>
      </c>
      <c r="D357" s="10">
        <f>D324+D317+D312+D305+D300+D290+D281+D278+D270+D266+D262+D254+D245+D241+D179+D166+D162+D159+D158</f>
        <v>102708451</v>
      </c>
      <c r="F357" s="10">
        <f>F305+F304+F279+F278+F267+F266+F254+F235+F179+F176+F174+F169+F166+F165+F162</f>
        <v>76723720</v>
      </c>
    </row>
    <row r="358" ht="15.75" hidden="1"/>
    <row r="359" spans="2:6" ht="15.75" hidden="1">
      <c r="B359" s="1" t="s">
        <v>373</v>
      </c>
      <c r="D359" s="10">
        <f>D34+D37+D43+D54</f>
        <v>11151843</v>
      </c>
      <c r="F359" s="10">
        <f>F34+F37+F54+F67</f>
        <v>15404849</v>
      </c>
    </row>
    <row r="360" spans="2:4" ht="15.75" hidden="1">
      <c r="B360" s="1" t="s">
        <v>374</v>
      </c>
      <c r="D360" s="10">
        <f>D40+D58</f>
        <v>4900252</v>
      </c>
    </row>
    <row r="361" spans="2:4" ht="15.75" hidden="1">
      <c r="B361" s="1" t="s">
        <v>375</v>
      </c>
      <c r="D361" s="10">
        <f>D46</f>
        <v>29827597</v>
      </c>
    </row>
    <row r="362" spans="2:6" ht="15.75" hidden="1">
      <c r="B362" s="1" t="s">
        <v>376</v>
      </c>
      <c r="D362" s="10">
        <f>D59+D60+D61+D66</f>
        <v>1199500</v>
      </c>
      <c r="F362" s="10">
        <f>F66+F69</f>
        <v>1108725</v>
      </c>
    </row>
    <row r="363" spans="2:6" ht="15.75" hidden="1">
      <c r="B363" s="1" t="s">
        <v>377</v>
      </c>
      <c r="D363" s="10">
        <f>D57+D71+D72</f>
        <v>2578544</v>
      </c>
      <c r="F363" s="1">
        <f>F71</f>
        <v>31358</v>
      </c>
    </row>
    <row r="364" ht="15.75" hidden="1"/>
    <row r="365" ht="15.75" hidden="1"/>
    <row r="366" spans="2:6" ht="15.75" hidden="1">
      <c r="B366" s="1" t="s">
        <v>378</v>
      </c>
      <c r="D366" s="10">
        <f>D75+D80+D83+D86+D89</f>
        <v>0</v>
      </c>
      <c r="F366" s="10">
        <f>F75+F80+F83+F86+F89+F94+F236</f>
        <v>22518298</v>
      </c>
    </row>
    <row r="367" spans="2:6" ht="15.75" hidden="1">
      <c r="B367" s="1" t="s">
        <v>379</v>
      </c>
      <c r="D367" s="10">
        <f>D127+D129+D132+D135+D141</f>
        <v>5504638</v>
      </c>
      <c r="F367" s="10">
        <f>F127+F129+F132+F135+F141+F145</f>
        <v>4137302</v>
      </c>
    </row>
    <row r="368" spans="2:4" ht="15.75" hidden="1">
      <c r="B368" s="1" t="s">
        <v>380</v>
      </c>
      <c r="D368" s="10">
        <f>D138</f>
        <v>1114809</v>
      </c>
    </row>
    <row r="369" spans="2:6" ht="15.75" hidden="1">
      <c r="B369" s="1" t="s">
        <v>381</v>
      </c>
      <c r="D369" s="1">
        <f>D140</f>
        <v>1693819</v>
      </c>
      <c r="F369" s="1">
        <f>F140</f>
        <v>42020</v>
      </c>
    </row>
    <row r="370" ht="15.75" hidden="1"/>
    <row r="371" spans="2:6" ht="15.75" hidden="1">
      <c r="B371" s="1" t="s">
        <v>382</v>
      </c>
      <c r="D371" s="10">
        <f>D105+D110+D112+D117+D119+D120+D103</f>
        <v>13778297</v>
      </c>
      <c r="F371" s="10">
        <f>F105+F115</f>
        <v>4271341</v>
      </c>
    </row>
    <row r="372" spans="2:6" ht="15.75" hidden="1">
      <c r="B372" s="1" t="s">
        <v>383</v>
      </c>
      <c r="F372" s="10">
        <f>F114</f>
        <v>0</v>
      </c>
    </row>
    <row r="373" spans="4:6" ht="15.75" hidden="1">
      <c r="D373" s="10"/>
      <c r="F373" s="10"/>
    </row>
    <row r="374" ht="15.75" hidden="1">
      <c r="F374" s="10"/>
    </row>
    <row r="376" spans="2:6" ht="15.75">
      <c r="B376" s="1" t="s">
        <v>384</v>
      </c>
      <c r="D376" s="10">
        <f>D207+D213</f>
        <v>10122723</v>
      </c>
      <c r="F376" s="10">
        <f>F210</f>
        <v>66000</v>
      </c>
    </row>
    <row r="377" spans="2:6" ht="15.75">
      <c r="B377" s="1" t="s">
        <v>385</v>
      </c>
      <c r="D377" s="10">
        <f>D214</f>
        <v>2425000</v>
      </c>
      <c r="F377" s="10">
        <f>F211+F213</f>
        <v>2053987</v>
      </c>
    </row>
    <row r="378" spans="2:6" ht="15.75">
      <c r="B378" s="1" t="s">
        <v>386</v>
      </c>
      <c r="D378" s="10">
        <f>D215</f>
        <v>0</v>
      </c>
      <c r="F378" s="10">
        <f>F215</f>
        <v>0</v>
      </c>
    </row>
    <row r="380" spans="2:6" ht="15.75">
      <c r="B380" s="1" t="s">
        <v>387</v>
      </c>
      <c r="F380" s="10">
        <f>F201+F178+F70</f>
        <v>16840000</v>
      </c>
    </row>
  </sheetData>
  <sheetProtection/>
  <mergeCells count="127">
    <mergeCell ref="A288:A289"/>
    <mergeCell ref="A280:A285"/>
    <mergeCell ref="A328:B328"/>
    <mergeCell ref="H8:H9"/>
    <mergeCell ref="A294:A301"/>
    <mergeCell ref="B294:B301"/>
    <mergeCell ref="A307:A313"/>
    <mergeCell ref="B307:B313"/>
    <mergeCell ref="A318:A325"/>
    <mergeCell ref="B318:B325"/>
    <mergeCell ref="B239:B240"/>
    <mergeCell ref="B235:B236"/>
    <mergeCell ref="A239:A240"/>
    <mergeCell ref="C230:C232"/>
    <mergeCell ref="A235:A236"/>
    <mergeCell ref="B280:B285"/>
    <mergeCell ref="B244:B251"/>
    <mergeCell ref="A315:A316"/>
    <mergeCell ref="B315:B316"/>
    <mergeCell ref="A290:A291"/>
    <mergeCell ref="B290:B291"/>
    <mergeCell ref="B288:B289"/>
    <mergeCell ref="A210:A212"/>
    <mergeCell ref="B210:B212"/>
    <mergeCell ref="A254:A255"/>
    <mergeCell ref="B254:B255"/>
    <mergeCell ref="A244:A251"/>
    <mergeCell ref="C210:C212"/>
    <mergeCell ref="D211:D212"/>
    <mergeCell ref="A214:A215"/>
    <mergeCell ref="B214:B215"/>
    <mergeCell ref="A269:A275"/>
    <mergeCell ref="B269:B275"/>
    <mergeCell ref="A258:A263"/>
    <mergeCell ref="B258:B263"/>
    <mergeCell ref="A219:A220"/>
    <mergeCell ref="B219:B220"/>
    <mergeCell ref="A208:A209"/>
    <mergeCell ref="B208:B209"/>
    <mergeCell ref="A171:A173"/>
    <mergeCell ref="B171:B173"/>
    <mergeCell ref="A176:A177"/>
    <mergeCell ref="B176:B177"/>
    <mergeCell ref="A191:A193"/>
    <mergeCell ref="B191:B193"/>
    <mergeCell ref="A179:A180"/>
    <mergeCell ref="B179:B180"/>
    <mergeCell ref="A138:A139"/>
    <mergeCell ref="B138:B139"/>
    <mergeCell ref="A140:A144"/>
    <mergeCell ref="B140:B144"/>
    <mergeCell ref="A169:A170"/>
    <mergeCell ref="B169:B170"/>
    <mergeCell ref="A166:A167"/>
    <mergeCell ref="B166:B167"/>
    <mergeCell ref="A159:A160"/>
    <mergeCell ref="B159:B160"/>
    <mergeCell ref="A156:A157"/>
    <mergeCell ref="B156:B157"/>
    <mergeCell ref="A161:A163"/>
    <mergeCell ref="B161:B163"/>
    <mergeCell ref="A114:A115"/>
    <mergeCell ref="B114:B115"/>
    <mergeCell ref="A132:A134"/>
    <mergeCell ref="B132:B134"/>
    <mergeCell ref="A135:A137"/>
    <mergeCell ref="B135:B137"/>
    <mergeCell ref="A86:A88"/>
    <mergeCell ref="B86:B88"/>
    <mergeCell ref="A129:A131"/>
    <mergeCell ref="B129:B131"/>
    <mergeCell ref="A110:A111"/>
    <mergeCell ref="B110:B111"/>
    <mergeCell ref="A112:A113"/>
    <mergeCell ref="B112:B113"/>
    <mergeCell ref="A127:A128"/>
    <mergeCell ref="B127:B128"/>
    <mergeCell ref="A101:A102"/>
    <mergeCell ref="B101:B102"/>
    <mergeCell ref="B89:B90"/>
    <mergeCell ref="A95:A96"/>
    <mergeCell ref="B95:B96"/>
    <mergeCell ref="C71:C72"/>
    <mergeCell ref="A75:A79"/>
    <mergeCell ref="B75:B79"/>
    <mergeCell ref="A80:A82"/>
    <mergeCell ref="B80:B82"/>
    <mergeCell ref="A61:A63"/>
    <mergeCell ref="B61:B63"/>
    <mergeCell ref="A54:A55"/>
    <mergeCell ref="B116:B118"/>
    <mergeCell ref="A117:A118"/>
    <mergeCell ref="A98:A100"/>
    <mergeCell ref="B98:B100"/>
    <mergeCell ref="A105:A109"/>
    <mergeCell ref="B105:B109"/>
    <mergeCell ref="A89:A90"/>
    <mergeCell ref="B83:B85"/>
    <mergeCell ref="A83:A85"/>
    <mergeCell ref="A65:A66"/>
    <mergeCell ref="B65:B66"/>
    <mergeCell ref="A67:A69"/>
    <mergeCell ref="B67:B69"/>
    <mergeCell ref="B54:B55"/>
    <mergeCell ref="A46:A50"/>
    <mergeCell ref="A34:A36"/>
    <mergeCell ref="B34:B36"/>
    <mergeCell ref="A37:A42"/>
    <mergeCell ref="B46:B50"/>
    <mergeCell ref="A52:A53"/>
    <mergeCell ref="B52:B53"/>
    <mergeCell ref="A43:A45"/>
    <mergeCell ref="B43:B45"/>
    <mergeCell ref="A5:G5"/>
    <mergeCell ref="B8:B9"/>
    <mergeCell ref="C8:D8"/>
    <mergeCell ref="E8:F8"/>
    <mergeCell ref="A12:A13"/>
    <mergeCell ref="C16:C19"/>
    <mergeCell ref="A23:A30"/>
    <mergeCell ref="B23:B30"/>
    <mergeCell ref="B12:B13"/>
    <mergeCell ref="A14:A15"/>
    <mergeCell ref="B14:B15"/>
    <mergeCell ref="B37:B42"/>
    <mergeCell ref="A16:A19"/>
    <mergeCell ref="B16:B19"/>
  </mergeCells>
  <printOptions/>
  <pageMargins left="0.3937007874015748" right="0.2362204724409449" top="0.3937007874015748" bottom="0.31496062992125984" header="0.2362204724409449" footer="0.2362204724409449"/>
  <pageSetup fitToHeight="16" horizontalDpi="600" verticalDpi="600" orientation="portrait" paperSize="9" scale="66" r:id="rId1"/>
  <headerFooter alignWithMargins="0">
    <oddHeader>&amp;C&amp;P</oddHeader>
  </headerFooter>
</worksheet>
</file>

<file path=xl/worksheets/sheet3.xml><?xml version="1.0" encoding="utf-8"?>
<worksheet xmlns="http://schemas.openxmlformats.org/spreadsheetml/2006/main" xmlns:r="http://schemas.openxmlformats.org/officeDocument/2006/relationships">
  <dimension ref="A1:K345"/>
  <sheetViews>
    <sheetView view="pageBreakPreview" zoomScale="75" zoomScaleSheetLayoutView="75" zoomScalePageLayoutView="0" workbookViewId="0" topLeftCell="A1">
      <selection activeCell="C14" sqref="C14"/>
    </sheetView>
  </sheetViews>
  <sheetFormatPr defaultColWidth="9.140625" defaultRowHeight="12.75"/>
  <cols>
    <col min="1" max="1" width="9.421875" style="1" customWidth="1"/>
    <col min="2" max="2" width="35.8515625" style="1" customWidth="1"/>
    <col min="3" max="3" width="62.8515625" style="1" customWidth="1"/>
    <col min="4" max="4" width="12.57421875" style="1" customWidth="1"/>
    <col min="5" max="5" width="62.57421875" style="1" customWidth="1"/>
    <col min="6" max="6" width="13.421875" style="1" customWidth="1"/>
    <col min="7" max="7" width="15.421875" style="1" customWidth="1"/>
    <col min="8" max="8" width="16.421875" style="1" customWidth="1"/>
    <col min="9" max="9" width="14.421875" style="1" customWidth="1"/>
    <col min="10" max="10" width="11.00390625" style="1" bestFit="1" customWidth="1"/>
    <col min="11" max="11" width="12.140625" style="1" bestFit="1" customWidth="1"/>
    <col min="12" max="16384" width="9.140625" style="1" customWidth="1"/>
  </cols>
  <sheetData>
    <row r="1" spans="5:7" ht="55.5" customHeight="1">
      <c r="E1" s="14" t="s">
        <v>197</v>
      </c>
      <c r="G1" s="13"/>
    </row>
    <row r="2" spans="5:7" ht="28.5" customHeight="1">
      <c r="E2" s="14" t="s">
        <v>198</v>
      </c>
      <c r="G2" s="13"/>
    </row>
    <row r="3" spans="3:7" ht="39.75" customHeight="1">
      <c r="C3" s="8"/>
      <c r="E3" s="14" t="s">
        <v>307</v>
      </c>
      <c r="G3" s="13"/>
    </row>
    <row r="5" spans="1:10" s="6" customFormat="1" ht="28.5" customHeight="1">
      <c r="A5" s="455" t="s">
        <v>335</v>
      </c>
      <c r="B5" s="455"/>
      <c r="C5" s="455"/>
      <c r="D5" s="455"/>
      <c r="E5" s="455"/>
      <c r="F5" s="455"/>
      <c r="G5" s="455"/>
      <c r="H5" s="49"/>
      <c r="J5" s="50"/>
    </row>
    <row r="6" spans="1:4" ht="5.25" customHeight="1">
      <c r="A6" s="63"/>
      <c r="B6" s="63"/>
      <c r="C6" s="63"/>
      <c r="D6" s="63"/>
    </row>
    <row r="7" spans="1:8" ht="16.5" customHeight="1">
      <c r="A7" s="63"/>
      <c r="B7" s="63"/>
      <c r="C7" s="63"/>
      <c r="D7" s="63"/>
      <c r="E7" s="63"/>
      <c r="F7" s="63"/>
      <c r="G7" s="68" t="s">
        <v>65</v>
      </c>
      <c r="H7" s="63"/>
    </row>
    <row r="8" spans="1:8" s="2" customFormat="1" ht="45.75" customHeight="1">
      <c r="A8" s="64" t="s">
        <v>34</v>
      </c>
      <c r="B8" s="453" t="s">
        <v>36</v>
      </c>
      <c r="C8" s="453" t="s">
        <v>60</v>
      </c>
      <c r="D8" s="453"/>
      <c r="E8" s="453" t="s">
        <v>63</v>
      </c>
      <c r="F8" s="453"/>
      <c r="G8" s="4" t="s">
        <v>64</v>
      </c>
      <c r="H8" s="20"/>
    </row>
    <row r="9" spans="1:8" s="2" customFormat="1" ht="57.75" customHeight="1">
      <c r="A9" s="64" t="s">
        <v>35</v>
      </c>
      <c r="B9" s="453"/>
      <c r="C9" s="4" t="s">
        <v>61</v>
      </c>
      <c r="D9" s="4" t="s">
        <v>62</v>
      </c>
      <c r="E9" s="4" t="s">
        <v>61</v>
      </c>
      <c r="F9" s="4" t="s">
        <v>62</v>
      </c>
      <c r="G9" s="4" t="s">
        <v>62</v>
      </c>
      <c r="H9" s="20"/>
    </row>
    <row r="10" spans="1:8" s="2" customFormat="1" ht="16.5" customHeight="1">
      <c r="A10" s="4">
        <v>1</v>
      </c>
      <c r="B10" s="4">
        <v>2</v>
      </c>
      <c r="C10" s="4">
        <v>3</v>
      </c>
      <c r="D10" s="4">
        <v>4</v>
      </c>
      <c r="E10" s="4">
        <v>5</v>
      </c>
      <c r="F10" s="4">
        <v>6</v>
      </c>
      <c r="G10" s="4">
        <v>7</v>
      </c>
      <c r="H10" s="20"/>
    </row>
    <row r="11" spans="1:9" s="2" customFormat="1" ht="31.5">
      <c r="A11" s="22" t="s">
        <v>133</v>
      </c>
      <c r="B11" s="23" t="s">
        <v>38</v>
      </c>
      <c r="C11" s="4"/>
      <c r="D11" s="24">
        <f>D13+D14+D23+D24+D26+D28+D29+D30</f>
        <v>0</v>
      </c>
      <c r="E11" s="4"/>
      <c r="F11" s="28">
        <f>F12+F15+F16+F20+F21+F23+F24+F26+F28+F29+F30</f>
        <v>0</v>
      </c>
      <c r="G11" s="28">
        <f>D11+F11</f>
        <v>0</v>
      </c>
      <c r="H11" s="47"/>
      <c r="I11" s="46"/>
    </row>
    <row r="12" spans="1:9" s="20" customFormat="1" ht="47.25">
      <c r="A12" s="454" t="s">
        <v>165</v>
      </c>
      <c r="B12" s="453" t="s">
        <v>166</v>
      </c>
      <c r="C12" s="4"/>
      <c r="D12" s="17"/>
      <c r="E12" s="4" t="s">
        <v>313</v>
      </c>
      <c r="F12" s="19"/>
      <c r="G12" s="19">
        <f>D12+F12</f>
        <v>0</v>
      </c>
      <c r="I12" s="46"/>
    </row>
    <row r="13" spans="1:9" s="20" customFormat="1" ht="68.25" customHeight="1">
      <c r="A13" s="454"/>
      <c r="B13" s="453"/>
      <c r="C13" s="61" t="s">
        <v>282</v>
      </c>
      <c r="D13" s="17"/>
      <c r="E13" s="4"/>
      <c r="F13" s="19"/>
      <c r="G13" s="19">
        <f aca="true" t="shared" si="0" ref="G13:G25">D13+F13</f>
        <v>0</v>
      </c>
      <c r="I13" s="46"/>
    </row>
    <row r="14" spans="1:9" s="20" customFormat="1" ht="51" customHeight="1">
      <c r="A14" s="454" t="s">
        <v>78</v>
      </c>
      <c r="B14" s="453" t="s">
        <v>104</v>
      </c>
      <c r="C14" s="4" t="s">
        <v>316</v>
      </c>
      <c r="D14" s="17"/>
      <c r="E14" s="4"/>
      <c r="F14" s="9"/>
      <c r="G14" s="19">
        <f t="shared" si="0"/>
        <v>0</v>
      </c>
      <c r="I14" s="46"/>
    </row>
    <row r="15" spans="1:9" s="20" customFormat="1" ht="31.5">
      <c r="A15" s="454"/>
      <c r="B15" s="453"/>
      <c r="C15" s="4"/>
      <c r="D15" s="17"/>
      <c r="E15" s="35" t="s">
        <v>315</v>
      </c>
      <c r="F15" s="36"/>
      <c r="G15" s="59">
        <f t="shared" si="0"/>
        <v>0</v>
      </c>
      <c r="I15" s="46"/>
    </row>
    <row r="16" spans="1:9" s="20" customFormat="1" ht="63">
      <c r="A16" s="454" t="s">
        <v>84</v>
      </c>
      <c r="B16" s="453" t="s">
        <v>85</v>
      </c>
      <c r="C16" s="453"/>
      <c r="D16" s="17"/>
      <c r="E16" s="4" t="s">
        <v>314</v>
      </c>
      <c r="F16" s="19"/>
      <c r="G16" s="19">
        <f t="shared" si="0"/>
        <v>0</v>
      </c>
      <c r="I16" s="46"/>
    </row>
    <row r="17" spans="1:9" s="20" customFormat="1" ht="44.25" customHeight="1" hidden="1">
      <c r="A17" s="454"/>
      <c r="B17" s="453"/>
      <c r="C17" s="453"/>
      <c r="D17" s="5"/>
      <c r="E17" s="4" t="s">
        <v>128</v>
      </c>
      <c r="F17" s="9"/>
      <c r="G17" s="19">
        <f t="shared" si="0"/>
        <v>0</v>
      </c>
      <c r="I17" s="46"/>
    </row>
    <row r="18" spans="1:9" s="20" customFormat="1" ht="47.25" customHeight="1" hidden="1">
      <c r="A18" s="454"/>
      <c r="B18" s="453"/>
      <c r="C18" s="453"/>
      <c r="D18" s="5"/>
      <c r="E18" s="4" t="s">
        <v>127</v>
      </c>
      <c r="F18" s="19">
        <v>0</v>
      </c>
      <c r="G18" s="19">
        <f t="shared" si="0"/>
        <v>0</v>
      </c>
      <c r="I18" s="46"/>
    </row>
    <row r="19" spans="1:9" s="20" customFormat="1" ht="15.75" hidden="1">
      <c r="A19" s="454"/>
      <c r="B19" s="453"/>
      <c r="C19" s="453"/>
      <c r="D19" s="5"/>
      <c r="E19" s="4"/>
      <c r="F19" s="19">
        <v>0</v>
      </c>
      <c r="G19" s="19">
        <f t="shared" si="0"/>
        <v>0</v>
      </c>
      <c r="I19" s="46"/>
    </row>
    <row r="20" spans="1:9" s="20" customFormat="1" ht="222" customHeight="1">
      <c r="A20" s="18" t="s">
        <v>211</v>
      </c>
      <c r="B20" s="40" t="s">
        <v>212</v>
      </c>
      <c r="C20" s="4"/>
      <c r="D20" s="5"/>
      <c r="E20" s="4" t="s">
        <v>254</v>
      </c>
      <c r="F20" s="19"/>
      <c r="G20" s="19">
        <f t="shared" si="0"/>
        <v>0</v>
      </c>
      <c r="I20" s="46"/>
    </row>
    <row r="21" spans="1:9" s="20" customFormat="1" ht="46.5" customHeight="1">
      <c r="A21" s="26">
        <v>240900</v>
      </c>
      <c r="B21" s="4" t="s">
        <v>105</v>
      </c>
      <c r="C21" s="16"/>
      <c r="D21" s="15"/>
      <c r="E21" s="4" t="s">
        <v>317</v>
      </c>
      <c r="F21" s="19"/>
      <c r="G21" s="19">
        <f t="shared" si="0"/>
        <v>0</v>
      </c>
      <c r="I21" s="46"/>
    </row>
    <row r="22" spans="1:9" s="20" customFormat="1" ht="75" customHeight="1" hidden="1">
      <c r="A22" s="26">
        <v>250203</v>
      </c>
      <c r="B22" s="4" t="s">
        <v>192</v>
      </c>
      <c r="C22" s="4"/>
      <c r="D22" s="21">
        <v>0</v>
      </c>
      <c r="E22" s="4"/>
      <c r="F22" s="9"/>
      <c r="G22" s="19">
        <f t="shared" si="0"/>
        <v>0</v>
      </c>
      <c r="I22" s="46"/>
    </row>
    <row r="23" spans="1:9" s="20" customFormat="1" ht="94.5">
      <c r="A23" s="452">
        <v>250404</v>
      </c>
      <c r="B23" s="453" t="s">
        <v>92</v>
      </c>
      <c r="C23" s="4" t="s">
        <v>298</v>
      </c>
      <c r="D23" s="21">
        <v>0</v>
      </c>
      <c r="E23" s="9"/>
      <c r="F23" s="12"/>
      <c r="G23" s="19">
        <f t="shared" si="0"/>
        <v>0</v>
      </c>
      <c r="I23" s="46"/>
    </row>
    <row r="24" spans="1:9" s="20" customFormat="1" ht="63">
      <c r="A24" s="452"/>
      <c r="B24" s="453"/>
      <c r="C24" s="4" t="s">
        <v>314</v>
      </c>
      <c r="D24" s="17">
        <v>0</v>
      </c>
      <c r="E24" s="4"/>
      <c r="F24" s="19">
        <v>0</v>
      </c>
      <c r="G24" s="19">
        <f t="shared" si="0"/>
        <v>0</v>
      </c>
      <c r="I24" s="46"/>
    </row>
    <row r="25" spans="1:9" s="20" customFormat="1" ht="32.25" customHeight="1" hidden="1">
      <c r="A25" s="452"/>
      <c r="B25" s="453"/>
      <c r="C25" s="4" t="s">
        <v>129</v>
      </c>
      <c r="D25" s="17">
        <v>120000</v>
      </c>
      <c r="E25" s="4" t="s">
        <v>129</v>
      </c>
      <c r="F25" s="19">
        <v>0</v>
      </c>
      <c r="G25" s="19">
        <f t="shared" si="0"/>
        <v>120000</v>
      </c>
      <c r="I25" s="46"/>
    </row>
    <row r="26" spans="1:9" s="20" customFormat="1" ht="65.25" customHeight="1">
      <c r="A26" s="452"/>
      <c r="B26" s="453"/>
      <c r="C26" s="4" t="s">
        <v>318</v>
      </c>
      <c r="D26" s="17">
        <v>0</v>
      </c>
      <c r="E26" s="4"/>
      <c r="F26" s="19">
        <v>0</v>
      </c>
      <c r="G26" s="19">
        <f aca="true" t="shared" si="1" ref="G26:G31">D26+F26</f>
        <v>0</v>
      </c>
      <c r="I26" s="46"/>
    </row>
    <row r="27" spans="1:9" s="20" customFormat="1" ht="38.25" customHeight="1" hidden="1">
      <c r="A27" s="452"/>
      <c r="B27" s="453"/>
      <c r="C27" s="4" t="s">
        <v>196</v>
      </c>
      <c r="D27" s="17">
        <v>0</v>
      </c>
      <c r="E27" s="4"/>
      <c r="F27" s="19"/>
      <c r="G27" s="19">
        <f t="shared" si="1"/>
        <v>0</v>
      </c>
      <c r="I27" s="46"/>
    </row>
    <row r="28" spans="1:9" s="20" customFormat="1" ht="46.5" customHeight="1">
      <c r="A28" s="452"/>
      <c r="B28" s="453"/>
      <c r="C28" s="35" t="s">
        <v>315</v>
      </c>
      <c r="D28" s="38">
        <v>0</v>
      </c>
      <c r="E28" s="35"/>
      <c r="F28" s="36"/>
      <c r="G28" s="59">
        <f t="shared" si="1"/>
        <v>0</v>
      </c>
      <c r="I28" s="46"/>
    </row>
    <row r="29" spans="1:9" s="20" customFormat="1" ht="62.25" customHeight="1">
      <c r="A29" s="452"/>
      <c r="B29" s="453"/>
      <c r="C29" s="4" t="s">
        <v>312</v>
      </c>
      <c r="D29" s="17"/>
      <c r="E29" s="35"/>
      <c r="F29" s="36"/>
      <c r="G29" s="19">
        <f t="shared" si="1"/>
        <v>0</v>
      </c>
      <c r="I29" s="46"/>
    </row>
    <row r="30" spans="1:9" s="20" customFormat="1" ht="63">
      <c r="A30" s="452"/>
      <c r="B30" s="453"/>
      <c r="C30" s="4" t="s">
        <v>254</v>
      </c>
      <c r="D30" s="17"/>
      <c r="E30" s="4"/>
      <c r="F30" s="19"/>
      <c r="G30" s="19">
        <f t="shared" si="1"/>
        <v>0</v>
      </c>
      <c r="I30" s="46"/>
    </row>
    <row r="31" spans="1:9" s="20" customFormat="1" ht="47.25">
      <c r="A31" s="22" t="s">
        <v>141</v>
      </c>
      <c r="B31" s="23" t="s">
        <v>49</v>
      </c>
      <c r="C31" s="4"/>
      <c r="D31" s="24">
        <f>D33+D34+D35+D36+D37+D40+D41+D42+D44++D46+D49+D50+D51+D52+D53+D54+D55+D56+D57+D58+D59+D60+D61+D62+D63+D68+D69</f>
        <v>0</v>
      </c>
      <c r="E31" s="5"/>
      <c r="F31" s="24">
        <f>F34+F35+F37+F41+F45+F46+F49+F59+F52+F63+F64+F65+F66+F67+F68</f>
        <v>0</v>
      </c>
      <c r="G31" s="24">
        <f t="shared" si="1"/>
        <v>0</v>
      </c>
      <c r="H31" s="47"/>
      <c r="I31" s="46"/>
    </row>
    <row r="32" spans="1:9" s="20" customFormat="1" ht="44.25" customHeight="1" hidden="1">
      <c r="A32" s="18" t="s">
        <v>165</v>
      </c>
      <c r="B32" s="4" t="s">
        <v>166</v>
      </c>
      <c r="C32" s="4" t="s">
        <v>190</v>
      </c>
      <c r="D32" s="17"/>
      <c r="E32" s="4"/>
      <c r="F32" s="19"/>
      <c r="G32" s="9">
        <v>0</v>
      </c>
      <c r="I32" s="46"/>
    </row>
    <row r="33" spans="1:9" s="20" customFormat="1" ht="66" customHeight="1">
      <c r="A33" s="18" t="s">
        <v>165</v>
      </c>
      <c r="B33" s="4" t="s">
        <v>166</v>
      </c>
      <c r="C33" s="58" t="s">
        <v>282</v>
      </c>
      <c r="D33" s="17">
        <v>0</v>
      </c>
      <c r="E33" s="4"/>
      <c r="F33" s="19"/>
      <c r="G33" s="19">
        <f>D33+F33</f>
        <v>0</v>
      </c>
      <c r="I33" s="46"/>
    </row>
    <row r="34" spans="1:9" s="20" customFormat="1" ht="33" customHeight="1">
      <c r="A34" s="454" t="s">
        <v>67</v>
      </c>
      <c r="B34" s="453" t="s">
        <v>107</v>
      </c>
      <c r="C34" s="58" t="s">
        <v>274</v>
      </c>
      <c r="D34" s="17">
        <v>0</v>
      </c>
      <c r="E34" s="4" t="s">
        <v>319</v>
      </c>
      <c r="F34" s="19">
        <v>0</v>
      </c>
      <c r="G34" s="19">
        <f>D34+F34</f>
        <v>0</v>
      </c>
      <c r="H34" s="47"/>
      <c r="I34" s="46"/>
    </row>
    <row r="35" spans="1:9" s="20" customFormat="1" ht="47.25">
      <c r="A35" s="454"/>
      <c r="B35" s="453"/>
      <c r="C35" s="35" t="s">
        <v>264</v>
      </c>
      <c r="D35" s="38">
        <v>0</v>
      </c>
      <c r="E35" s="35" t="s">
        <v>264</v>
      </c>
      <c r="F35" s="36">
        <v>0</v>
      </c>
      <c r="G35" s="19">
        <f>D35+F35</f>
        <v>0</v>
      </c>
      <c r="I35" s="46"/>
    </row>
    <row r="36" spans="1:9" s="20" customFormat="1" ht="71.25" customHeight="1">
      <c r="A36" s="454"/>
      <c r="B36" s="453"/>
      <c r="C36" s="58" t="s">
        <v>282</v>
      </c>
      <c r="D36" s="17">
        <v>0</v>
      </c>
      <c r="E36" s="35"/>
      <c r="F36" s="36"/>
      <c r="G36" s="19">
        <f>D36+F36</f>
        <v>0</v>
      </c>
      <c r="I36" s="46"/>
    </row>
    <row r="37" spans="1:9" s="20" customFormat="1" ht="35.25" customHeight="1">
      <c r="A37" s="454" t="s">
        <v>68</v>
      </c>
      <c r="B37" s="454" t="s">
        <v>108</v>
      </c>
      <c r="C37" s="58" t="s">
        <v>274</v>
      </c>
      <c r="D37" s="17">
        <v>0</v>
      </c>
      <c r="E37" s="4" t="s">
        <v>319</v>
      </c>
      <c r="F37" s="19">
        <v>0</v>
      </c>
      <c r="G37" s="19">
        <f>D37+F37</f>
        <v>0</v>
      </c>
      <c r="H37" s="47"/>
      <c r="I37" s="46"/>
    </row>
    <row r="38" spans="1:9" s="20" customFormat="1" ht="32.25" customHeight="1" hidden="1">
      <c r="A38" s="454"/>
      <c r="B38" s="454"/>
      <c r="C38" s="58" t="s">
        <v>227</v>
      </c>
      <c r="D38" s="17"/>
      <c r="E38" s="4" t="s">
        <v>227</v>
      </c>
      <c r="F38" s="19"/>
      <c r="G38" s="19">
        <f aca="true" t="shared" si="2" ref="G38:G48">D38+F38</f>
        <v>0</v>
      </c>
      <c r="I38" s="46"/>
    </row>
    <row r="39" spans="1:9" s="20" customFormat="1" ht="66" customHeight="1" hidden="1">
      <c r="A39" s="454"/>
      <c r="B39" s="454"/>
      <c r="C39" s="58" t="s">
        <v>227</v>
      </c>
      <c r="D39" s="17"/>
      <c r="E39" s="4" t="s">
        <v>227</v>
      </c>
      <c r="F39" s="19"/>
      <c r="G39" s="19">
        <f t="shared" si="2"/>
        <v>0</v>
      </c>
      <c r="I39" s="46"/>
    </row>
    <row r="40" spans="1:9" s="20" customFormat="1" ht="35.25" customHeight="1">
      <c r="A40" s="454"/>
      <c r="B40" s="454"/>
      <c r="C40" s="58" t="s">
        <v>279</v>
      </c>
      <c r="D40" s="17">
        <v>0</v>
      </c>
      <c r="E40" s="4"/>
      <c r="F40" s="19"/>
      <c r="G40" s="19">
        <f t="shared" si="2"/>
        <v>0</v>
      </c>
      <c r="I40" s="46"/>
    </row>
    <row r="41" spans="1:9" s="20" customFormat="1" ht="47.25">
      <c r="A41" s="454"/>
      <c r="B41" s="454"/>
      <c r="C41" s="35" t="s">
        <v>264</v>
      </c>
      <c r="D41" s="38">
        <v>0</v>
      </c>
      <c r="E41" s="35" t="s">
        <v>264</v>
      </c>
      <c r="F41" s="36">
        <v>0</v>
      </c>
      <c r="G41" s="19">
        <f t="shared" si="2"/>
        <v>0</v>
      </c>
      <c r="I41" s="46"/>
    </row>
    <row r="42" spans="1:9" s="20" customFormat="1" ht="66" customHeight="1">
      <c r="A42" s="454"/>
      <c r="B42" s="454"/>
      <c r="C42" s="58" t="s">
        <v>282</v>
      </c>
      <c r="D42" s="17">
        <v>0</v>
      </c>
      <c r="E42" s="35"/>
      <c r="F42" s="36"/>
      <c r="G42" s="19">
        <f t="shared" si="2"/>
        <v>0</v>
      </c>
      <c r="I42" s="46"/>
    </row>
    <row r="43" spans="1:9" s="20" customFormat="1" ht="35.25" customHeight="1">
      <c r="A43" s="454" t="s">
        <v>69</v>
      </c>
      <c r="B43" s="453" t="s">
        <v>109</v>
      </c>
      <c r="C43" s="58" t="s">
        <v>274</v>
      </c>
      <c r="D43" s="17">
        <v>0</v>
      </c>
      <c r="E43" s="4"/>
      <c r="F43" s="19"/>
      <c r="G43" s="19">
        <f t="shared" si="2"/>
        <v>0</v>
      </c>
      <c r="I43" s="46"/>
    </row>
    <row r="44" spans="1:9" s="20" customFormat="1" ht="70.5" customHeight="1">
      <c r="A44" s="454"/>
      <c r="B44" s="453"/>
      <c r="C44" s="58" t="s">
        <v>282</v>
      </c>
      <c r="D44" s="17">
        <v>0</v>
      </c>
      <c r="E44" s="4"/>
      <c r="F44" s="19"/>
      <c r="G44" s="19">
        <f t="shared" si="2"/>
        <v>0</v>
      </c>
      <c r="I44" s="46"/>
    </row>
    <row r="45" spans="1:9" s="20" customFormat="1" ht="31.5">
      <c r="A45" s="454"/>
      <c r="B45" s="453"/>
      <c r="C45" s="4"/>
      <c r="D45" s="17"/>
      <c r="E45" s="35" t="s">
        <v>315</v>
      </c>
      <c r="F45" s="36">
        <v>0</v>
      </c>
      <c r="G45" s="19">
        <f t="shared" si="2"/>
        <v>0</v>
      </c>
      <c r="H45" s="47"/>
      <c r="I45" s="46"/>
    </row>
    <row r="46" spans="1:9" s="20" customFormat="1" ht="39" customHeight="1">
      <c r="A46" s="454" t="s">
        <v>26</v>
      </c>
      <c r="B46" s="453" t="s">
        <v>27</v>
      </c>
      <c r="C46" s="58" t="s">
        <v>263</v>
      </c>
      <c r="D46" s="17">
        <v>0</v>
      </c>
      <c r="E46" s="4" t="s">
        <v>320</v>
      </c>
      <c r="F46" s="19">
        <v>0</v>
      </c>
      <c r="G46" s="19">
        <f t="shared" si="2"/>
        <v>0</v>
      </c>
      <c r="H46" s="47"/>
      <c r="I46" s="46"/>
    </row>
    <row r="47" spans="1:9" s="20" customFormat="1" ht="46.5" customHeight="1" hidden="1">
      <c r="A47" s="454"/>
      <c r="B47" s="453"/>
      <c r="C47" s="4" t="s">
        <v>305</v>
      </c>
      <c r="D47" s="17">
        <v>0</v>
      </c>
      <c r="E47" s="4" t="s">
        <v>305</v>
      </c>
      <c r="F47" s="19">
        <v>0</v>
      </c>
      <c r="G47" s="19">
        <f t="shared" si="2"/>
        <v>0</v>
      </c>
      <c r="I47" s="46"/>
    </row>
    <row r="48" spans="1:9" s="20" customFormat="1" ht="51.75" customHeight="1" hidden="1">
      <c r="A48" s="454"/>
      <c r="B48" s="453"/>
      <c r="C48" s="4"/>
      <c r="D48" s="21">
        <v>0</v>
      </c>
      <c r="E48" s="26"/>
      <c r="F48" s="16"/>
      <c r="G48" s="19">
        <f t="shared" si="2"/>
        <v>0</v>
      </c>
      <c r="I48" s="46"/>
    </row>
    <row r="49" spans="1:9" s="20" customFormat="1" ht="47.25">
      <c r="A49" s="454"/>
      <c r="B49" s="453"/>
      <c r="C49" s="35" t="s">
        <v>264</v>
      </c>
      <c r="D49" s="36">
        <v>0</v>
      </c>
      <c r="E49" s="35" t="s">
        <v>264</v>
      </c>
      <c r="F49" s="36">
        <v>0</v>
      </c>
      <c r="G49" s="19">
        <f>D49+F49</f>
        <v>0</v>
      </c>
      <c r="I49" s="46"/>
    </row>
    <row r="50" spans="1:9" s="20" customFormat="1" ht="66.75" customHeight="1">
      <c r="A50" s="454"/>
      <c r="B50" s="453"/>
      <c r="C50" s="58" t="s">
        <v>282</v>
      </c>
      <c r="D50" s="19">
        <v>0</v>
      </c>
      <c r="E50" s="35"/>
      <c r="F50" s="36"/>
      <c r="G50" s="19">
        <f aca="true" t="shared" si="3" ref="G50:G67">D50+F50</f>
        <v>0</v>
      </c>
      <c r="I50" s="46"/>
    </row>
    <row r="51" spans="1:9" s="20" customFormat="1" ht="63.75" customHeight="1">
      <c r="A51" s="18" t="s">
        <v>276</v>
      </c>
      <c r="B51" s="4" t="s">
        <v>275</v>
      </c>
      <c r="C51" s="58" t="s">
        <v>282</v>
      </c>
      <c r="D51" s="19">
        <v>0</v>
      </c>
      <c r="E51" s="35"/>
      <c r="F51" s="36"/>
      <c r="G51" s="19">
        <f t="shared" si="3"/>
        <v>0</v>
      </c>
      <c r="I51" s="46"/>
    </row>
    <row r="52" spans="1:9" s="51" customFormat="1" ht="46.5" customHeight="1">
      <c r="A52" s="18" t="s">
        <v>283</v>
      </c>
      <c r="B52" s="4" t="s">
        <v>284</v>
      </c>
      <c r="C52" s="58" t="s">
        <v>274</v>
      </c>
      <c r="D52" s="19">
        <v>0</v>
      </c>
      <c r="E52" s="4" t="s">
        <v>319</v>
      </c>
      <c r="F52" s="19">
        <v>0</v>
      </c>
      <c r="G52" s="19">
        <f t="shared" si="3"/>
        <v>0</v>
      </c>
      <c r="H52" s="47"/>
      <c r="I52" s="52"/>
    </row>
    <row r="53" spans="1:9" s="20" customFormat="1" ht="60.75" customHeight="1">
      <c r="A53" s="18" t="s">
        <v>277</v>
      </c>
      <c r="B53" s="4" t="s">
        <v>278</v>
      </c>
      <c r="C53" s="60" t="s">
        <v>282</v>
      </c>
      <c r="D53" s="19">
        <v>0</v>
      </c>
      <c r="E53" s="35"/>
      <c r="F53" s="36"/>
      <c r="G53" s="19">
        <f t="shared" si="3"/>
        <v>0</v>
      </c>
      <c r="I53" s="46"/>
    </row>
    <row r="54" spans="1:9" s="20" customFormat="1" ht="47.25">
      <c r="A54" s="25" t="s">
        <v>81</v>
      </c>
      <c r="B54" s="4" t="s">
        <v>28</v>
      </c>
      <c r="C54" s="4" t="s">
        <v>322</v>
      </c>
      <c r="D54" s="21">
        <v>0</v>
      </c>
      <c r="E54" s="4"/>
      <c r="F54" s="16"/>
      <c r="G54" s="19">
        <f t="shared" si="3"/>
        <v>0</v>
      </c>
      <c r="I54" s="46"/>
    </row>
    <row r="55" spans="1:9" s="20" customFormat="1" ht="95.25" customHeight="1">
      <c r="A55" s="18" t="s">
        <v>70</v>
      </c>
      <c r="B55" s="4" t="s">
        <v>103</v>
      </c>
      <c r="C55" s="60" t="s">
        <v>279</v>
      </c>
      <c r="D55" s="17">
        <v>0</v>
      </c>
      <c r="E55" s="4"/>
      <c r="F55" s="9"/>
      <c r="G55" s="19">
        <f t="shared" si="3"/>
        <v>0</v>
      </c>
      <c r="I55" s="46"/>
    </row>
    <row r="56" spans="1:9" s="20" customFormat="1" ht="35.25" customHeight="1">
      <c r="A56" s="18" t="s">
        <v>157</v>
      </c>
      <c r="B56" s="4" t="s">
        <v>158</v>
      </c>
      <c r="C56" s="60" t="s">
        <v>241</v>
      </c>
      <c r="D56" s="17">
        <v>0</v>
      </c>
      <c r="E56" s="4"/>
      <c r="F56" s="9"/>
      <c r="G56" s="19">
        <f t="shared" si="3"/>
        <v>0</v>
      </c>
      <c r="I56" s="46"/>
    </row>
    <row r="57" spans="1:9" s="20" customFormat="1" ht="47.25">
      <c r="A57" s="18" t="s">
        <v>238</v>
      </c>
      <c r="B57" s="4" t="s">
        <v>239</v>
      </c>
      <c r="C57" s="60" t="s">
        <v>241</v>
      </c>
      <c r="D57" s="17">
        <v>0</v>
      </c>
      <c r="E57" s="4"/>
      <c r="F57" s="19"/>
      <c r="G57" s="19">
        <f t="shared" si="3"/>
        <v>0</v>
      </c>
      <c r="I57" s="46"/>
    </row>
    <row r="58" spans="1:9" s="20" customFormat="1" ht="31.5" customHeight="1">
      <c r="A58" s="454" t="s">
        <v>110</v>
      </c>
      <c r="B58" s="453" t="s">
        <v>191</v>
      </c>
      <c r="C58" s="60" t="s">
        <v>241</v>
      </c>
      <c r="D58" s="17">
        <v>0</v>
      </c>
      <c r="E58" s="4"/>
      <c r="F58" s="19"/>
      <c r="G58" s="19">
        <f t="shared" si="3"/>
        <v>0</v>
      </c>
      <c r="I58" s="46"/>
    </row>
    <row r="59" spans="1:9" s="20" customFormat="1" ht="47.25">
      <c r="A59" s="454"/>
      <c r="B59" s="453"/>
      <c r="C59" s="35" t="s">
        <v>264</v>
      </c>
      <c r="D59" s="36">
        <v>0</v>
      </c>
      <c r="E59" s="35" t="s">
        <v>315</v>
      </c>
      <c r="F59" s="36">
        <v>0</v>
      </c>
      <c r="G59" s="19">
        <f t="shared" si="3"/>
        <v>0</v>
      </c>
      <c r="H59" s="47"/>
      <c r="I59" s="46"/>
    </row>
    <row r="60" spans="1:9" s="20" customFormat="1" ht="65.25" customHeight="1">
      <c r="A60" s="454"/>
      <c r="B60" s="453"/>
      <c r="C60" s="4" t="s">
        <v>282</v>
      </c>
      <c r="D60" s="19">
        <v>0</v>
      </c>
      <c r="E60" s="35"/>
      <c r="F60" s="36"/>
      <c r="G60" s="19">
        <f t="shared" si="3"/>
        <v>0</v>
      </c>
      <c r="I60" s="46"/>
    </row>
    <row r="61" spans="1:9" s="20" customFormat="1" ht="47.25">
      <c r="A61" s="18" t="s">
        <v>155</v>
      </c>
      <c r="B61" s="4" t="s">
        <v>156</v>
      </c>
      <c r="C61" s="4" t="s">
        <v>255</v>
      </c>
      <c r="D61" s="17">
        <v>0</v>
      </c>
      <c r="E61" s="4"/>
      <c r="F61" s="19"/>
      <c r="G61" s="19">
        <f t="shared" si="3"/>
        <v>0</v>
      </c>
      <c r="I61" s="46"/>
    </row>
    <row r="62" spans="1:9" s="20" customFormat="1" ht="63">
      <c r="A62" s="452">
        <v>130112</v>
      </c>
      <c r="B62" s="453" t="s">
        <v>92</v>
      </c>
      <c r="C62" s="58" t="s">
        <v>282</v>
      </c>
      <c r="D62" s="17">
        <v>0</v>
      </c>
      <c r="E62" s="4"/>
      <c r="F62" s="19"/>
      <c r="G62" s="19">
        <f t="shared" si="3"/>
        <v>0</v>
      </c>
      <c r="I62" s="46"/>
    </row>
    <row r="63" spans="1:9" s="20" customFormat="1" ht="37.5" customHeight="1">
      <c r="A63" s="452"/>
      <c r="B63" s="453"/>
      <c r="C63" s="4" t="s">
        <v>321</v>
      </c>
      <c r="D63" s="21">
        <v>0</v>
      </c>
      <c r="E63" s="60" t="s">
        <v>241</v>
      </c>
      <c r="F63" s="12">
        <v>0</v>
      </c>
      <c r="G63" s="19">
        <f t="shared" si="3"/>
        <v>0</v>
      </c>
      <c r="H63" s="47"/>
      <c r="I63" s="46"/>
    </row>
    <row r="64" spans="1:9" s="20" customFormat="1" ht="31.5">
      <c r="A64" s="454" t="s">
        <v>84</v>
      </c>
      <c r="B64" s="453" t="s">
        <v>85</v>
      </c>
      <c r="C64" s="4"/>
      <c r="D64" s="5"/>
      <c r="E64" s="4" t="s">
        <v>319</v>
      </c>
      <c r="F64" s="12">
        <v>0</v>
      </c>
      <c r="G64" s="19">
        <f t="shared" si="3"/>
        <v>0</v>
      </c>
      <c r="H64" s="47"/>
      <c r="I64" s="46"/>
    </row>
    <row r="65" spans="1:9" s="20" customFormat="1" ht="31.5">
      <c r="A65" s="454"/>
      <c r="B65" s="453"/>
      <c r="C65" s="4"/>
      <c r="D65" s="5"/>
      <c r="E65" s="4" t="s">
        <v>320</v>
      </c>
      <c r="F65" s="12">
        <v>0</v>
      </c>
      <c r="G65" s="19">
        <f t="shared" si="3"/>
        <v>0</v>
      </c>
      <c r="I65" s="46"/>
    </row>
    <row r="66" spans="1:9" s="20" customFormat="1" ht="31.5">
      <c r="A66" s="454"/>
      <c r="B66" s="453"/>
      <c r="C66" s="4"/>
      <c r="D66" s="5"/>
      <c r="E66" s="4" t="s">
        <v>323</v>
      </c>
      <c r="F66" s="12">
        <v>0</v>
      </c>
      <c r="G66" s="19">
        <f t="shared" si="3"/>
        <v>0</v>
      </c>
      <c r="I66" s="46"/>
    </row>
    <row r="67" spans="1:9" s="20" customFormat="1" ht="47.25">
      <c r="A67" s="4">
        <v>240601</v>
      </c>
      <c r="B67" s="4" t="s">
        <v>106</v>
      </c>
      <c r="C67" s="4"/>
      <c r="D67" s="5"/>
      <c r="E67" s="4" t="s">
        <v>324</v>
      </c>
      <c r="F67" s="19">
        <v>0</v>
      </c>
      <c r="G67" s="19">
        <f t="shared" si="3"/>
        <v>0</v>
      </c>
      <c r="H67" s="47"/>
      <c r="I67" s="46"/>
    </row>
    <row r="68" spans="1:9" s="20" customFormat="1" ht="77.25" customHeight="1">
      <c r="A68" s="25" t="s">
        <v>24</v>
      </c>
      <c r="B68" s="4" t="s">
        <v>25</v>
      </c>
      <c r="C68" s="456" t="s">
        <v>322</v>
      </c>
      <c r="D68" s="15">
        <v>0</v>
      </c>
      <c r="E68" s="60" t="s">
        <v>240</v>
      </c>
      <c r="F68" s="16">
        <v>0</v>
      </c>
      <c r="G68" s="19">
        <f>D68+F68</f>
        <v>0</v>
      </c>
      <c r="I68" s="46"/>
    </row>
    <row r="69" spans="1:9" s="20" customFormat="1" ht="94.5">
      <c r="A69" s="25" t="s">
        <v>302</v>
      </c>
      <c r="B69" s="4" t="s">
        <v>303</v>
      </c>
      <c r="C69" s="457"/>
      <c r="D69" s="15">
        <v>0</v>
      </c>
      <c r="E69" s="4"/>
      <c r="F69" s="16"/>
      <c r="G69" s="19">
        <f>D69+F69</f>
        <v>0</v>
      </c>
      <c r="I69" s="46"/>
    </row>
    <row r="70" spans="1:9" s="20" customFormat="1" ht="46.5" customHeight="1">
      <c r="A70" s="22" t="s">
        <v>142</v>
      </c>
      <c r="B70" s="23" t="s">
        <v>50</v>
      </c>
      <c r="C70" s="4"/>
      <c r="D70" s="24">
        <f>D72+D73+D74+D75+D76+D77+D78+D79+D80+D81+D83+D82+D85+D86+D87+D89</f>
        <v>0</v>
      </c>
      <c r="E70" s="5"/>
      <c r="F70" s="24">
        <f>F72+F73+F75+F77+F78+F80+F81+F83+F84+F86+F90</f>
        <v>0</v>
      </c>
      <c r="G70" s="28">
        <f>D70+F70</f>
        <v>0</v>
      </c>
      <c r="H70" s="47"/>
      <c r="I70" s="46"/>
    </row>
    <row r="71" spans="1:9" s="20" customFormat="1" ht="34.5" customHeight="1" hidden="1">
      <c r="A71" s="18" t="s">
        <v>165</v>
      </c>
      <c r="B71" s="4" t="s">
        <v>166</v>
      </c>
      <c r="C71" s="4" t="s">
        <v>174</v>
      </c>
      <c r="D71" s="17"/>
      <c r="E71" s="4"/>
      <c r="F71" s="19"/>
      <c r="G71" s="19">
        <v>0</v>
      </c>
      <c r="I71" s="46"/>
    </row>
    <row r="72" spans="1:9" s="20" customFormat="1" ht="52.5" customHeight="1">
      <c r="A72" s="454" t="s">
        <v>72</v>
      </c>
      <c r="B72" s="453" t="s">
        <v>19</v>
      </c>
      <c r="C72" s="60" t="s">
        <v>292</v>
      </c>
      <c r="D72" s="17">
        <v>0</v>
      </c>
      <c r="E72" s="4" t="s">
        <v>325</v>
      </c>
      <c r="F72" s="19">
        <v>0</v>
      </c>
      <c r="G72" s="19">
        <f>D72+F72</f>
        <v>0</v>
      </c>
      <c r="H72" s="47"/>
      <c r="I72" s="46"/>
    </row>
    <row r="73" spans="1:9" s="20" customFormat="1" ht="51.75" customHeight="1">
      <c r="A73" s="454"/>
      <c r="B73" s="453"/>
      <c r="C73" s="4" t="s">
        <v>305</v>
      </c>
      <c r="D73" s="17">
        <v>0</v>
      </c>
      <c r="E73" s="4" t="s">
        <v>305</v>
      </c>
      <c r="F73" s="19">
        <v>0</v>
      </c>
      <c r="G73" s="19">
        <f aca="true" t="shared" si="4" ref="G73:G90">D73+F73</f>
        <v>0</v>
      </c>
      <c r="I73" s="46"/>
    </row>
    <row r="74" spans="1:9" s="20" customFormat="1" ht="54.75" customHeight="1">
      <c r="A74" s="454"/>
      <c r="B74" s="453"/>
      <c r="C74" s="60" t="s">
        <v>293</v>
      </c>
      <c r="D74" s="17">
        <v>0</v>
      </c>
      <c r="E74" s="4"/>
      <c r="F74" s="19"/>
      <c r="G74" s="19">
        <f t="shared" si="4"/>
        <v>0</v>
      </c>
      <c r="I74" s="46"/>
    </row>
    <row r="75" spans="1:9" s="20" customFormat="1" ht="47.25">
      <c r="A75" s="454"/>
      <c r="B75" s="453"/>
      <c r="C75" s="60" t="s">
        <v>264</v>
      </c>
      <c r="D75" s="38">
        <v>0</v>
      </c>
      <c r="E75" s="35" t="s">
        <v>315</v>
      </c>
      <c r="F75" s="36">
        <v>0</v>
      </c>
      <c r="G75" s="19">
        <f t="shared" si="4"/>
        <v>0</v>
      </c>
      <c r="I75" s="46"/>
    </row>
    <row r="76" spans="1:9" s="20" customFormat="1" ht="63">
      <c r="A76" s="454"/>
      <c r="B76" s="453"/>
      <c r="C76" s="60" t="s">
        <v>282</v>
      </c>
      <c r="D76" s="17">
        <v>0</v>
      </c>
      <c r="E76" s="35"/>
      <c r="F76" s="36"/>
      <c r="G76" s="19">
        <f t="shared" si="4"/>
        <v>0</v>
      </c>
      <c r="I76" s="46"/>
    </row>
    <row r="77" spans="1:9" s="20" customFormat="1" ht="50.25" customHeight="1">
      <c r="A77" s="454" t="s">
        <v>111</v>
      </c>
      <c r="B77" s="453" t="s">
        <v>229</v>
      </c>
      <c r="C77" s="60" t="s">
        <v>292</v>
      </c>
      <c r="D77" s="17">
        <v>0</v>
      </c>
      <c r="E77" s="4" t="s">
        <v>325</v>
      </c>
      <c r="F77" s="19">
        <v>0</v>
      </c>
      <c r="G77" s="19">
        <f t="shared" si="4"/>
        <v>0</v>
      </c>
      <c r="H77" s="47"/>
      <c r="I77" s="46"/>
    </row>
    <row r="78" spans="1:9" s="20" customFormat="1" ht="47.25">
      <c r="A78" s="454"/>
      <c r="B78" s="453"/>
      <c r="C78" s="35" t="s">
        <v>264</v>
      </c>
      <c r="D78" s="36">
        <v>0</v>
      </c>
      <c r="E78" s="35" t="s">
        <v>315</v>
      </c>
      <c r="F78" s="36">
        <v>0</v>
      </c>
      <c r="G78" s="19">
        <f t="shared" si="4"/>
        <v>0</v>
      </c>
      <c r="I78" s="46"/>
    </row>
    <row r="79" spans="1:9" s="20" customFormat="1" ht="63">
      <c r="A79" s="454"/>
      <c r="B79" s="453"/>
      <c r="C79" s="61" t="s">
        <v>282</v>
      </c>
      <c r="D79" s="19">
        <v>0</v>
      </c>
      <c r="E79" s="35"/>
      <c r="F79" s="36"/>
      <c r="G79" s="19">
        <f t="shared" si="4"/>
        <v>0</v>
      </c>
      <c r="I79" s="46"/>
    </row>
    <row r="80" spans="1:9" s="20" customFormat="1" ht="47.25">
      <c r="A80" s="454" t="s">
        <v>73</v>
      </c>
      <c r="B80" s="453" t="s">
        <v>20</v>
      </c>
      <c r="C80" s="61" t="s">
        <v>292</v>
      </c>
      <c r="D80" s="17">
        <v>0</v>
      </c>
      <c r="E80" s="4" t="s">
        <v>325</v>
      </c>
      <c r="F80" s="19">
        <v>0</v>
      </c>
      <c r="G80" s="19">
        <f t="shared" si="4"/>
        <v>0</v>
      </c>
      <c r="H80" s="47"/>
      <c r="I80" s="46"/>
    </row>
    <row r="81" spans="1:9" s="20" customFormat="1" ht="47.25">
      <c r="A81" s="454"/>
      <c r="B81" s="453"/>
      <c r="C81" s="35" t="s">
        <v>264</v>
      </c>
      <c r="D81" s="36">
        <v>0</v>
      </c>
      <c r="E81" s="35" t="s">
        <v>315</v>
      </c>
      <c r="F81" s="36">
        <v>0</v>
      </c>
      <c r="G81" s="19">
        <f t="shared" si="4"/>
        <v>0</v>
      </c>
      <c r="I81" s="46"/>
    </row>
    <row r="82" spans="1:9" s="20" customFormat="1" ht="63">
      <c r="A82" s="454"/>
      <c r="B82" s="453"/>
      <c r="C82" s="61" t="s">
        <v>282</v>
      </c>
      <c r="D82" s="19">
        <v>0</v>
      </c>
      <c r="E82" s="35"/>
      <c r="F82" s="36"/>
      <c r="G82" s="19">
        <f t="shared" si="4"/>
        <v>0</v>
      </c>
      <c r="I82" s="46"/>
    </row>
    <row r="83" spans="1:9" s="20" customFormat="1" ht="47.25" customHeight="1">
      <c r="A83" s="454" t="s">
        <v>74</v>
      </c>
      <c r="B83" s="453" t="s">
        <v>21</v>
      </c>
      <c r="C83" s="61" t="s">
        <v>292</v>
      </c>
      <c r="D83" s="17">
        <v>0</v>
      </c>
      <c r="E83" s="4" t="s">
        <v>325</v>
      </c>
      <c r="F83" s="19">
        <v>0</v>
      </c>
      <c r="G83" s="19">
        <f t="shared" si="4"/>
        <v>0</v>
      </c>
      <c r="H83" s="47"/>
      <c r="I83" s="46"/>
    </row>
    <row r="84" spans="1:9" s="20" customFormat="1" ht="31.5">
      <c r="A84" s="454"/>
      <c r="B84" s="453"/>
      <c r="C84" s="4"/>
      <c r="D84" s="17"/>
      <c r="E84" s="35" t="s">
        <v>315</v>
      </c>
      <c r="F84" s="36">
        <v>0</v>
      </c>
      <c r="G84" s="19">
        <f t="shared" si="4"/>
        <v>0</v>
      </c>
      <c r="I84" s="46"/>
    </row>
    <row r="85" spans="1:9" s="20" customFormat="1" ht="66" customHeight="1">
      <c r="A85" s="454"/>
      <c r="B85" s="453"/>
      <c r="C85" s="61" t="s">
        <v>282</v>
      </c>
      <c r="D85" s="17">
        <v>0</v>
      </c>
      <c r="E85" s="35"/>
      <c r="F85" s="36"/>
      <c r="G85" s="19">
        <f t="shared" si="4"/>
        <v>0</v>
      </c>
      <c r="I85" s="46"/>
    </row>
    <row r="86" spans="1:9" s="53" customFormat="1" ht="50.25" customHeight="1">
      <c r="A86" s="18" t="s">
        <v>285</v>
      </c>
      <c r="B86" s="4" t="s">
        <v>286</v>
      </c>
      <c r="C86" s="61" t="s">
        <v>292</v>
      </c>
      <c r="D86" s="17">
        <v>0</v>
      </c>
      <c r="E86" s="4" t="s">
        <v>325</v>
      </c>
      <c r="F86" s="19">
        <v>0</v>
      </c>
      <c r="G86" s="19">
        <f t="shared" si="4"/>
        <v>0</v>
      </c>
      <c r="H86" s="47"/>
      <c r="I86" s="46"/>
    </row>
    <row r="87" spans="1:9" s="20" customFormat="1" ht="47.25">
      <c r="A87" s="18" t="s">
        <v>112</v>
      </c>
      <c r="B87" s="4" t="s">
        <v>113</v>
      </c>
      <c r="C87" s="61" t="s">
        <v>242</v>
      </c>
      <c r="D87" s="17">
        <v>0</v>
      </c>
      <c r="E87" s="4"/>
      <c r="F87" s="9"/>
      <c r="G87" s="19">
        <f t="shared" si="4"/>
        <v>0</v>
      </c>
      <c r="I87" s="46"/>
    </row>
    <row r="88" spans="1:9" s="20" customFormat="1" ht="15.75" customHeight="1" hidden="1">
      <c r="A88" s="18" t="s">
        <v>75</v>
      </c>
      <c r="B88" s="4" t="s">
        <v>22</v>
      </c>
      <c r="C88" s="61"/>
      <c r="D88" s="17"/>
      <c r="E88" s="4"/>
      <c r="F88" s="19">
        <v>0</v>
      </c>
      <c r="G88" s="19">
        <f t="shared" si="4"/>
        <v>0</v>
      </c>
      <c r="I88" s="46"/>
    </row>
    <row r="89" spans="1:9" s="20" customFormat="1" ht="46.5" customHeight="1">
      <c r="A89" s="18" t="s">
        <v>76</v>
      </c>
      <c r="B89" s="4" t="s">
        <v>230</v>
      </c>
      <c r="C89" s="61" t="s">
        <v>243</v>
      </c>
      <c r="D89" s="17">
        <v>0</v>
      </c>
      <c r="E89" s="4"/>
      <c r="F89" s="9"/>
      <c r="G89" s="19">
        <f t="shared" si="4"/>
        <v>0</v>
      </c>
      <c r="I89" s="46"/>
    </row>
    <row r="90" spans="1:9" s="20" customFormat="1" ht="52.5" customHeight="1">
      <c r="A90" s="18" t="s">
        <v>84</v>
      </c>
      <c r="B90" s="4" t="s">
        <v>85</v>
      </c>
      <c r="C90" s="4"/>
      <c r="D90" s="5"/>
      <c r="E90" s="4" t="s">
        <v>325</v>
      </c>
      <c r="F90" s="19">
        <v>0</v>
      </c>
      <c r="G90" s="19">
        <f t="shared" si="4"/>
        <v>0</v>
      </c>
      <c r="H90" s="47"/>
      <c r="I90" s="46"/>
    </row>
    <row r="91" spans="1:9" s="20" customFormat="1" ht="36" customHeight="1" hidden="1">
      <c r="A91" s="454" t="s">
        <v>71</v>
      </c>
      <c r="B91" s="453" t="s">
        <v>105</v>
      </c>
      <c r="C91" s="4"/>
      <c r="D91" s="5"/>
      <c r="E91" s="4" t="s">
        <v>130</v>
      </c>
      <c r="F91" s="12"/>
      <c r="G91" s="9">
        <v>0</v>
      </c>
      <c r="I91" s="46"/>
    </row>
    <row r="92" spans="1:9" s="20" customFormat="1" ht="33" customHeight="1" hidden="1">
      <c r="A92" s="454"/>
      <c r="B92" s="453"/>
      <c r="C92" s="4"/>
      <c r="D92" s="5"/>
      <c r="E92" s="4" t="s">
        <v>131</v>
      </c>
      <c r="F92" s="12"/>
      <c r="G92" s="9">
        <v>0</v>
      </c>
      <c r="I92" s="46"/>
    </row>
    <row r="93" spans="1:9" s="20" customFormat="1" ht="49.5" customHeight="1">
      <c r="A93" s="22" t="s">
        <v>143</v>
      </c>
      <c r="B93" s="23" t="s">
        <v>51</v>
      </c>
      <c r="C93" s="4"/>
      <c r="D93" s="28">
        <f>D96+D99+D101+D102+D104+D105+D106+D107+D108+D109+D113+D115+D116</f>
        <v>0</v>
      </c>
      <c r="E93" s="9"/>
      <c r="F93" s="28">
        <f>F94+F97+F101+F102+F104+F107+F110+F111</f>
        <v>0</v>
      </c>
      <c r="G93" s="28">
        <f>D93+F93</f>
        <v>0</v>
      </c>
      <c r="H93" s="47"/>
      <c r="I93" s="46"/>
    </row>
    <row r="94" spans="1:9" s="20" customFormat="1" ht="47.25">
      <c r="A94" s="454" t="s">
        <v>165</v>
      </c>
      <c r="B94" s="453" t="s">
        <v>166</v>
      </c>
      <c r="C94" s="4"/>
      <c r="D94" s="19"/>
      <c r="E94" s="4" t="s">
        <v>313</v>
      </c>
      <c r="F94" s="19">
        <v>0</v>
      </c>
      <c r="G94" s="19">
        <f>D94+F94</f>
        <v>0</v>
      </c>
      <c r="I94" s="46"/>
    </row>
    <row r="95" spans="1:9" s="20" customFormat="1" ht="96.75" customHeight="1" hidden="1">
      <c r="A95" s="454"/>
      <c r="B95" s="453"/>
      <c r="C95" s="4" t="s">
        <v>228</v>
      </c>
      <c r="D95" s="17">
        <v>0</v>
      </c>
      <c r="E95" s="4"/>
      <c r="F95" s="9"/>
      <c r="G95" s="19">
        <f aca="true" t="shared" si="5" ref="G95:G116">D95+F95</f>
        <v>0</v>
      </c>
      <c r="I95" s="46"/>
    </row>
    <row r="96" spans="1:9" s="20" customFormat="1" ht="64.5" customHeight="1">
      <c r="A96" s="454"/>
      <c r="B96" s="453"/>
      <c r="C96" s="61" t="s">
        <v>282</v>
      </c>
      <c r="D96" s="19">
        <v>0</v>
      </c>
      <c r="E96" s="4"/>
      <c r="F96" s="9"/>
      <c r="G96" s="19">
        <f t="shared" si="5"/>
        <v>0</v>
      </c>
      <c r="I96" s="46"/>
    </row>
    <row r="97" spans="1:9" s="20" customFormat="1" ht="51.75" customHeight="1">
      <c r="A97" s="454" t="s">
        <v>79</v>
      </c>
      <c r="B97" s="453" t="s">
        <v>234</v>
      </c>
      <c r="C97" s="4"/>
      <c r="D97" s="19"/>
      <c r="E97" s="4" t="s">
        <v>313</v>
      </c>
      <c r="F97" s="19">
        <v>0</v>
      </c>
      <c r="G97" s="19">
        <f t="shared" si="5"/>
        <v>0</v>
      </c>
      <c r="I97" s="46"/>
    </row>
    <row r="98" spans="1:9" s="20" customFormat="1" ht="63" hidden="1">
      <c r="A98" s="454"/>
      <c r="B98" s="453"/>
      <c r="C98" s="4" t="s">
        <v>282</v>
      </c>
      <c r="D98" s="17">
        <v>0</v>
      </c>
      <c r="E98" s="4"/>
      <c r="F98" s="19"/>
      <c r="G98" s="19">
        <f t="shared" si="5"/>
        <v>0</v>
      </c>
      <c r="I98" s="46"/>
    </row>
    <row r="99" spans="1:9" s="20" customFormat="1" ht="63">
      <c r="A99" s="18" t="s">
        <v>80</v>
      </c>
      <c r="B99" s="4" t="s">
        <v>235</v>
      </c>
      <c r="C99" s="4" t="s">
        <v>327</v>
      </c>
      <c r="D99" s="17">
        <v>0</v>
      </c>
      <c r="E99" s="4"/>
      <c r="F99" s="9"/>
      <c r="G99" s="19">
        <f t="shared" si="5"/>
        <v>0</v>
      </c>
      <c r="I99" s="46"/>
    </row>
    <row r="100" spans="1:9" s="20" customFormat="1" ht="47.25" hidden="1">
      <c r="A100" s="18" t="s">
        <v>81</v>
      </c>
      <c r="B100" s="4" t="s">
        <v>236</v>
      </c>
      <c r="C100" s="4"/>
      <c r="D100" s="17"/>
      <c r="E100" s="4"/>
      <c r="F100" s="9"/>
      <c r="G100" s="19">
        <f t="shared" si="5"/>
        <v>0</v>
      </c>
      <c r="I100" s="46"/>
    </row>
    <row r="101" spans="1:9" s="20" customFormat="1" ht="50.25" customHeight="1">
      <c r="A101" s="454" t="s">
        <v>163</v>
      </c>
      <c r="B101" s="453" t="s">
        <v>164</v>
      </c>
      <c r="C101" s="4" t="s">
        <v>326</v>
      </c>
      <c r="D101" s="17">
        <v>0</v>
      </c>
      <c r="E101" s="4" t="s">
        <v>326</v>
      </c>
      <c r="F101" s="19">
        <v>0</v>
      </c>
      <c r="G101" s="19">
        <f t="shared" si="5"/>
        <v>0</v>
      </c>
      <c r="I101" s="46"/>
    </row>
    <row r="102" spans="1:9" s="20" customFormat="1" ht="50.25" customHeight="1">
      <c r="A102" s="454"/>
      <c r="B102" s="453"/>
      <c r="C102" s="4" t="s">
        <v>305</v>
      </c>
      <c r="D102" s="17">
        <v>0</v>
      </c>
      <c r="E102" s="4" t="s">
        <v>305</v>
      </c>
      <c r="F102" s="19">
        <v>0</v>
      </c>
      <c r="G102" s="19">
        <f t="shared" si="5"/>
        <v>0</v>
      </c>
      <c r="I102" s="46"/>
    </row>
    <row r="103" spans="1:9" s="20" customFormat="1" ht="110.25" customHeight="1" hidden="1">
      <c r="A103" s="454"/>
      <c r="B103" s="453"/>
      <c r="C103" s="4"/>
      <c r="D103" s="17"/>
      <c r="E103" s="4"/>
      <c r="F103" s="9"/>
      <c r="G103" s="19">
        <f t="shared" si="5"/>
        <v>0</v>
      </c>
      <c r="I103" s="46"/>
    </row>
    <row r="104" spans="1:9" s="20" customFormat="1" ht="51" customHeight="1">
      <c r="A104" s="454"/>
      <c r="B104" s="453"/>
      <c r="C104" s="35" t="s">
        <v>264</v>
      </c>
      <c r="D104" s="37">
        <v>0</v>
      </c>
      <c r="E104" s="35" t="s">
        <v>264</v>
      </c>
      <c r="F104" s="37">
        <v>0</v>
      </c>
      <c r="G104" s="19">
        <f t="shared" si="5"/>
        <v>0</v>
      </c>
      <c r="I104" s="46"/>
    </row>
    <row r="105" spans="1:9" s="20" customFormat="1" ht="63">
      <c r="A105" s="454"/>
      <c r="B105" s="453"/>
      <c r="C105" s="61" t="s">
        <v>282</v>
      </c>
      <c r="D105" s="9">
        <v>0</v>
      </c>
      <c r="E105" s="35"/>
      <c r="F105" s="37"/>
      <c r="G105" s="19">
        <f t="shared" si="5"/>
        <v>0</v>
      </c>
      <c r="I105" s="46"/>
    </row>
    <row r="106" spans="1:9" s="20" customFormat="1" ht="49.5" customHeight="1">
      <c r="A106" s="454" t="s">
        <v>23</v>
      </c>
      <c r="B106" s="453" t="s">
        <v>17</v>
      </c>
      <c r="C106" s="4" t="s">
        <v>326</v>
      </c>
      <c r="D106" s="17">
        <v>0</v>
      </c>
      <c r="E106" s="4"/>
      <c r="F106" s="9"/>
      <c r="G106" s="19">
        <f t="shared" si="5"/>
        <v>0</v>
      </c>
      <c r="I106" s="46"/>
    </row>
    <row r="107" spans="1:9" s="20" customFormat="1" ht="47.25">
      <c r="A107" s="454"/>
      <c r="B107" s="453"/>
      <c r="C107" s="35" t="s">
        <v>264</v>
      </c>
      <c r="D107" s="37">
        <v>0</v>
      </c>
      <c r="E107" s="35" t="s">
        <v>315</v>
      </c>
      <c r="F107" s="37">
        <v>0</v>
      </c>
      <c r="G107" s="19">
        <f t="shared" si="5"/>
        <v>0</v>
      </c>
      <c r="I107" s="46"/>
    </row>
    <row r="108" spans="1:9" s="20" customFormat="1" ht="48" customHeight="1">
      <c r="A108" s="454" t="s">
        <v>86</v>
      </c>
      <c r="B108" s="453" t="s">
        <v>93</v>
      </c>
      <c r="C108" s="61" t="s">
        <v>244</v>
      </c>
      <c r="D108" s="17">
        <v>0</v>
      </c>
      <c r="E108" s="4"/>
      <c r="F108" s="9"/>
      <c r="G108" s="19">
        <f>D108+F108</f>
        <v>0</v>
      </c>
      <c r="I108" s="46"/>
    </row>
    <row r="109" spans="1:9" s="20" customFormat="1" ht="47.25">
      <c r="A109" s="454"/>
      <c r="B109" s="453"/>
      <c r="C109" s="35" t="s">
        <v>264</v>
      </c>
      <c r="D109" s="38">
        <v>0</v>
      </c>
      <c r="E109" s="35"/>
      <c r="F109" s="37"/>
      <c r="G109" s="19">
        <f t="shared" si="5"/>
        <v>0</v>
      </c>
      <c r="I109" s="46"/>
    </row>
    <row r="110" spans="1:9" s="20" customFormat="1" ht="48" customHeight="1">
      <c r="A110" s="454" t="s">
        <v>84</v>
      </c>
      <c r="B110" s="453" t="s">
        <v>85</v>
      </c>
      <c r="C110" s="4"/>
      <c r="D110" s="17"/>
      <c r="E110" s="4" t="s">
        <v>269</v>
      </c>
      <c r="F110" s="12">
        <v>0</v>
      </c>
      <c r="G110" s="19">
        <f t="shared" si="5"/>
        <v>0</v>
      </c>
      <c r="I110" s="46"/>
    </row>
    <row r="111" spans="1:9" s="20" customFormat="1" ht="45.75" customHeight="1">
      <c r="A111" s="454"/>
      <c r="B111" s="453"/>
      <c r="C111" s="4"/>
      <c r="D111" s="5"/>
      <c r="E111" s="4" t="s">
        <v>326</v>
      </c>
      <c r="F111" s="12">
        <v>0</v>
      </c>
      <c r="G111" s="19">
        <f t="shared" si="5"/>
        <v>0</v>
      </c>
      <c r="I111" s="46"/>
    </row>
    <row r="112" spans="1:9" s="20" customFormat="1" ht="52.5" customHeight="1" hidden="1">
      <c r="A112" s="18" t="s">
        <v>33</v>
      </c>
      <c r="B112" s="453" t="s">
        <v>232</v>
      </c>
      <c r="C112" s="4" t="s">
        <v>132</v>
      </c>
      <c r="D112" s="17"/>
      <c r="E112" s="4"/>
      <c r="F112" s="16"/>
      <c r="G112" s="19">
        <f t="shared" si="5"/>
        <v>0</v>
      </c>
      <c r="I112" s="46"/>
    </row>
    <row r="113" spans="1:9" s="20" customFormat="1" ht="49.5" customHeight="1">
      <c r="A113" s="454" t="s">
        <v>33</v>
      </c>
      <c r="B113" s="453"/>
      <c r="C113" s="61" t="s">
        <v>245</v>
      </c>
      <c r="D113" s="17">
        <v>0</v>
      </c>
      <c r="E113" s="4"/>
      <c r="F113" s="16"/>
      <c r="G113" s="19">
        <f t="shared" si="5"/>
        <v>0</v>
      </c>
      <c r="I113" s="46"/>
    </row>
    <row r="114" spans="1:9" s="20" customFormat="1" ht="62.25" customHeight="1" hidden="1">
      <c r="A114" s="454"/>
      <c r="B114" s="453"/>
      <c r="C114" s="61" t="s">
        <v>228</v>
      </c>
      <c r="D114" s="17"/>
      <c r="E114" s="4"/>
      <c r="F114" s="16"/>
      <c r="G114" s="19">
        <f t="shared" si="5"/>
        <v>0</v>
      </c>
      <c r="I114" s="46"/>
    </row>
    <row r="115" spans="1:9" s="20" customFormat="1" ht="78.75" customHeight="1">
      <c r="A115" s="18" t="s">
        <v>87</v>
      </c>
      <c r="B115" s="4" t="s">
        <v>233</v>
      </c>
      <c r="C115" s="61" t="s">
        <v>245</v>
      </c>
      <c r="D115" s="17">
        <v>0</v>
      </c>
      <c r="E115" s="4"/>
      <c r="F115" s="16"/>
      <c r="G115" s="19">
        <f t="shared" si="5"/>
        <v>0</v>
      </c>
      <c r="I115" s="46"/>
    </row>
    <row r="116" spans="1:9" s="20" customFormat="1" ht="51" customHeight="1">
      <c r="A116" s="18" t="s">
        <v>117</v>
      </c>
      <c r="B116" s="4" t="s">
        <v>220</v>
      </c>
      <c r="C116" s="61" t="s">
        <v>245</v>
      </c>
      <c r="D116" s="17">
        <v>0</v>
      </c>
      <c r="E116" s="4"/>
      <c r="F116" s="16"/>
      <c r="G116" s="19">
        <f t="shared" si="5"/>
        <v>0</v>
      </c>
      <c r="I116" s="46"/>
    </row>
    <row r="117" spans="1:9" s="20" customFormat="1" ht="68.25" customHeight="1" hidden="1">
      <c r="A117" s="22" t="s">
        <v>176</v>
      </c>
      <c r="B117" s="23" t="s">
        <v>180</v>
      </c>
      <c r="C117" s="4"/>
      <c r="D117" s="24">
        <v>0</v>
      </c>
      <c r="E117" s="4"/>
      <c r="F117" s="24">
        <v>0</v>
      </c>
      <c r="G117" s="24">
        <v>0</v>
      </c>
      <c r="I117" s="46"/>
    </row>
    <row r="118" spans="1:9" s="20" customFormat="1" ht="31.5" hidden="1">
      <c r="A118" s="18" t="s">
        <v>165</v>
      </c>
      <c r="B118" s="4" t="s">
        <v>166</v>
      </c>
      <c r="C118" s="4" t="s">
        <v>177</v>
      </c>
      <c r="D118" s="17"/>
      <c r="E118" s="4" t="s">
        <v>177</v>
      </c>
      <c r="F118" s="12"/>
      <c r="G118" s="9">
        <v>0</v>
      </c>
      <c r="I118" s="46"/>
    </row>
    <row r="119" spans="1:9" s="20" customFormat="1" ht="63" hidden="1">
      <c r="A119" s="22" t="s">
        <v>187</v>
      </c>
      <c r="B119" s="23" t="s">
        <v>188</v>
      </c>
      <c r="C119" s="4"/>
      <c r="D119" s="24">
        <v>0</v>
      </c>
      <c r="E119" s="4"/>
      <c r="F119" s="24">
        <v>0</v>
      </c>
      <c r="G119" s="24">
        <v>0</v>
      </c>
      <c r="I119" s="46"/>
    </row>
    <row r="120" spans="1:9" s="20" customFormat="1" ht="47.25" hidden="1">
      <c r="A120" s="18" t="s">
        <v>165</v>
      </c>
      <c r="B120" s="4" t="s">
        <v>166</v>
      </c>
      <c r="C120" s="4" t="s">
        <v>189</v>
      </c>
      <c r="D120" s="17"/>
      <c r="E120" s="4" t="s">
        <v>189</v>
      </c>
      <c r="F120" s="12"/>
      <c r="G120" s="9">
        <v>0</v>
      </c>
      <c r="I120" s="46"/>
    </row>
    <row r="121" spans="1:9" s="20" customFormat="1" ht="35.25" customHeight="1">
      <c r="A121" s="22" t="s">
        <v>148</v>
      </c>
      <c r="B121" s="23" t="s">
        <v>54</v>
      </c>
      <c r="C121" s="4"/>
      <c r="D121" s="24">
        <f>D123+D125+D126+D127+D128+D129+D130+D132+D133+D134+D135+D136</f>
        <v>0</v>
      </c>
      <c r="E121" s="5"/>
      <c r="F121" s="24">
        <f>F123+F125+F126+F128+F129+F130+F131+F134+F135+F138+F139</f>
        <v>0</v>
      </c>
      <c r="G121" s="28">
        <f>D121+F121</f>
        <v>0</v>
      </c>
      <c r="H121" s="47"/>
      <c r="I121" s="46"/>
    </row>
    <row r="122" spans="1:9" s="20" customFormat="1" ht="31.5" hidden="1">
      <c r="A122" s="18" t="s">
        <v>165</v>
      </c>
      <c r="B122" s="4" t="s">
        <v>166</v>
      </c>
      <c r="C122" s="4" t="s">
        <v>179</v>
      </c>
      <c r="D122" s="17"/>
      <c r="E122" s="4"/>
      <c r="F122" s="19"/>
      <c r="G122" s="16">
        <v>0</v>
      </c>
      <c r="I122" s="46"/>
    </row>
    <row r="123" spans="1:9" s="20" customFormat="1" ht="54" customHeight="1">
      <c r="A123" s="454" t="s">
        <v>159</v>
      </c>
      <c r="B123" s="453" t="s">
        <v>160</v>
      </c>
      <c r="C123" s="61" t="s">
        <v>246</v>
      </c>
      <c r="D123" s="17">
        <v>0</v>
      </c>
      <c r="E123" s="4" t="s">
        <v>329</v>
      </c>
      <c r="F123" s="19">
        <v>0</v>
      </c>
      <c r="G123" s="12">
        <f>D123+F123</f>
        <v>0</v>
      </c>
      <c r="H123" s="47"/>
      <c r="I123" s="46"/>
    </row>
    <row r="124" spans="1:9" s="20" customFormat="1" ht="65.25" customHeight="1" hidden="1">
      <c r="A124" s="454"/>
      <c r="B124" s="453"/>
      <c r="C124" s="61" t="s">
        <v>282</v>
      </c>
      <c r="D124" s="17">
        <v>0</v>
      </c>
      <c r="E124" s="4"/>
      <c r="F124" s="19"/>
      <c r="G124" s="12">
        <f aca="true" t="shared" si="6" ref="G124:G138">D124+F124</f>
        <v>0</v>
      </c>
      <c r="I124" s="46"/>
    </row>
    <row r="125" spans="1:9" s="20" customFormat="1" ht="54" customHeight="1">
      <c r="A125" s="454" t="s">
        <v>161</v>
      </c>
      <c r="B125" s="453" t="s">
        <v>162</v>
      </c>
      <c r="C125" s="61" t="s">
        <v>247</v>
      </c>
      <c r="D125" s="17">
        <v>0</v>
      </c>
      <c r="E125" s="4" t="s">
        <v>329</v>
      </c>
      <c r="F125" s="19">
        <v>0</v>
      </c>
      <c r="G125" s="12">
        <f t="shared" si="6"/>
        <v>0</v>
      </c>
      <c r="H125" s="47"/>
      <c r="I125" s="46"/>
    </row>
    <row r="126" spans="1:9" s="20" customFormat="1" ht="47.25">
      <c r="A126" s="454"/>
      <c r="B126" s="453"/>
      <c r="C126" s="35" t="s">
        <v>264</v>
      </c>
      <c r="D126" s="36">
        <v>0</v>
      </c>
      <c r="E126" s="35" t="s">
        <v>315</v>
      </c>
      <c r="F126" s="36">
        <v>0</v>
      </c>
      <c r="G126" s="12">
        <f t="shared" si="6"/>
        <v>0</v>
      </c>
      <c r="I126" s="46"/>
    </row>
    <row r="127" spans="1:9" s="20" customFormat="1" ht="66.75" customHeight="1">
      <c r="A127" s="454"/>
      <c r="B127" s="453"/>
      <c r="C127" s="61" t="s">
        <v>282</v>
      </c>
      <c r="D127" s="19">
        <v>0</v>
      </c>
      <c r="E127" s="35"/>
      <c r="F127" s="36"/>
      <c r="G127" s="12">
        <f t="shared" si="6"/>
        <v>0</v>
      </c>
      <c r="I127" s="46"/>
    </row>
    <row r="128" spans="1:9" s="20" customFormat="1" ht="54" customHeight="1">
      <c r="A128" s="454" t="s">
        <v>169</v>
      </c>
      <c r="B128" s="453" t="s">
        <v>170</v>
      </c>
      <c r="C128" s="61" t="s">
        <v>247</v>
      </c>
      <c r="D128" s="17">
        <v>0</v>
      </c>
      <c r="E128" s="4" t="s">
        <v>329</v>
      </c>
      <c r="F128" s="19">
        <v>0</v>
      </c>
      <c r="G128" s="12">
        <f t="shared" si="6"/>
        <v>0</v>
      </c>
      <c r="H128" s="69"/>
      <c r="I128" s="46"/>
    </row>
    <row r="129" spans="1:9" s="20" customFormat="1" ht="47.25">
      <c r="A129" s="454"/>
      <c r="B129" s="453"/>
      <c r="C129" s="35" t="s">
        <v>264</v>
      </c>
      <c r="D129" s="36">
        <v>0</v>
      </c>
      <c r="E129" s="35" t="s">
        <v>315</v>
      </c>
      <c r="F129" s="36">
        <v>0</v>
      </c>
      <c r="G129" s="12">
        <f t="shared" si="6"/>
        <v>0</v>
      </c>
      <c r="I129" s="46"/>
    </row>
    <row r="130" spans="1:9" s="20" customFormat="1" ht="51" customHeight="1">
      <c r="A130" s="454" t="s">
        <v>167</v>
      </c>
      <c r="B130" s="453" t="s">
        <v>168</v>
      </c>
      <c r="C130" s="61" t="s">
        <v>247</v>
      </c>
      <c r="D130" s="17">
        <v>0</v>
      </c>
      <c r="E130" s="4" t="s">
        <v>329</v>
      </c>
      <c r="F130" s="19">
        <v>0</v>
      </c>
      <c r="G130" s="12">
        <f t="shared" si="6"/>
        <v>0</v>
      </c>
      <c r="H130" s="47"/>
      <c r="I130" s="46"/>
    </row>
    <row r="131" spans="1:9" s="20" customFormat="1" ht="31.5">
      <c r="A131" s="454"/>
      <c r="B131" s="453"/>
      <c r="C131" s="4"/>
      <c r="D131" s="17"/>
      <c r="E131" s="35" t="s">
        <v>315</v>
      </c>
      <c r="F131" s="36">
        <v>0</v>
      </c>
      <c r="G131" s="12">
        <f t="shared" si="6"/>
        <v>0</v>
      </c>
      <c r="I131" s="46"/>
    </row>
    <row r="132" spans="1:9" s="20" customFormat="1" ht="66" customHeight="1">
      <c r="A132" s="454"/>
      <c r="B132" s="453"/>
      <c r="C132" s="61" t="s">
        <v>282</v>
      </c>
      <c r="D132" s="17">
        <v>0</v>
      </c>
      <c r="E132" s="35"/>
      <c r="F132" s="36"/>
      <c r="G132" s="12">
        <f t="shared" si="6"/>
        <v>0</v>
      </c>
      <c r="I132" s="46"/>
    </row>
    <row r="133" spans="1:9" s="20" customFormat="1" ht="47.25">
      <c r="A133" s="26">
        <v>110300</v>
      </c>
      <c r="B133" s="4" t="s">
        <v>30</v>
      </c>
      <c r="C133" s="61" t="s">
        <v>248</v>
      </c>
      <c r="D133" s="21">
        <v>0</v>
      </c>
      <c r="E133" s="4"/>
      <c r="F133" s="36"/>
      <c r="G133" s="12">
        <f t="shared" si="6"/>
        <v>0</v>
      </c>
      <c r="I133" s="46"/>
    </row>
    <row r="134" spans="1:9" s="20" customFormat="1" ht="47.25">
      <c r="A134" s="452">
        <v>110502</v>
      </c>
      <c r="B134" s="453" t="s">
        <v>18</v>
      </c>
      <c r="C134" s="61" t="s">
        <v>299</v>
      </c>
      <c r="D134" s="15">
        <v>0</v>
      </c>
      <c r="E134" s="61" t="s">
        <v>299</v>
      </c>
      <c r="F134" s="16">
        <v>0</v>
      </c>
      <c r="G134" s="12">
        <f t="shared" si="6"/>
        <v>0</v>
      </c>
      <c r="H134" s="47"/>
      <c r="I134" s="46"/>
    </row>
    <row r="135" spans="1:9" s="20" customFormat="1" ht="51" customHeight="1">
      <c r="A135" s="452"/>
      <c r="B135" s="453"/>
      <c r="C135" s="61" t="s">
        <v>247</v>
      </c>
      <c r="D135" s="15">
        <v>0</v>
      </c>
      <c r="E135" s="4" t="s">
        <v>329</v>
      </c>
      <c r="F135" s="12">
        <v>0</v>
      </c>
      <c r="G135" s="12">
        <f t="shared" si="6"/>
        <v>0</v>
      </c>
      <c r="I135" s="46"/>
    </row>
    <row r="136" spans="1:9" s="20" customFormat="1" ht="55.5" customHeight="1">
      <c r="A136" s="452"/>
      <c r="B136" s="453"/>
      <c r="C136" s="61" t="s">
        <v>249</v>
      </c>
      <c r="D136" s="15">
        <v>0</v>
      </c>
      <c r="E136" s="26"/>
      <c r="F136" s="16"/>
      <c r="G136" s="12">
        <f t="shared" si="6"/>
        <v>0</v>
      </c>
      <c r="I136" s="46"/>
    </row>
    <row r="137" spans="1:9" s="20" customFormat="1" ht="68.25" customHeight="1" hidden="1">
      <c r="A137" s="452"/>
      <c r="B137" s="453"/>
      <c r="C137" s="4" t="s">
        <v>282</v>
      </c>
      <c r="D137" s="15">
        <v>0</v>
      </c>
      <c r="E137" s="4"/>
      <c r="F137" s="16"/>
      <c r="G137" s="12">
        <f t="shared" si="6"/>
        <v>0</v>
      </c>
      <c r="I137" s="46"/>
    </row>
    <row r="138" spans="1:9" s="20" customFormat="1" ht="47.25">
      <c r="A138" s="452"/>
      <c r="B138" s="453"/>
      <c r="C138" s="4"/>
      <c r="D138" s="15"/>
      <c r="E138" s="35" t="s">
        <v>264</v>
      </c>
      <c r="F138" s="36">
        <v>0</v>
      </c>
      <c r="G138" s="12">
        <f t="shared" si="6"/>
        <v>0</v>
      </c>
      <c r="I138" s="46"/>
    </row>
    <row r="139" spans="1:9" s="20" customFormat="1" ht="47.25">
      <c r="A139" s="18" t="s">
        <v>84</v>
      </c>
      <c r="B139" s="4" t="s">
        <v>85</v>
      </c>
      <c r="C139" s="4"/>
      <c r="D139" s="5"/>
      <c r="E139" s="4" t="s">
        <v>328</v>
      </c>
      <c r="F139" s="19">
        <v>0</v>
      </c>
      <c r="G139" s="12">
        <f>D139+F139</f>
        <v>0</v>
      </c>
      <c r="H139" s="47"/>
      <c r="I139" s="46"/>
    </row>
    <row r="140" spans="1:9" s="20" customFormat="1" ht="47.25" hidden="1">
      <c r="A140" s="22" t="s">
        <v>294</v>
      </c>
      <c r="B140" s="23" t="s">
        <v>295</v>
      </c>
      <c r="C140" s="4"/>
      <c r="D140" s="24">
        <v>0</v>
      </c>
      <c r="E140" s="5"/>
      <c r="F140" s="28">
        <v>0</v>
      </c>
      <c r="G140" s="27">
        <v>0</v>
      </c>
      <c r="H140" s="47"/>
      <c r="I140" s="46"/>
    </row>
    <row r="141" spans="1:9" s="20" customFormat="1" ht="47.25" hidden="1">
      <c r="A141" s="18" t="s">
        <v>165</v>
      </c>
      <c r="B141" s="4" t="s">
        <v>166</v>
      </c>
      <c r="C141" s="4"/>
      <c r="D141" s="5"/>
      <c r="E141" s="55" t="s">
        <v>267</v>
      </c>
      <c r="F141" s="56">
        <v>0</v>
      </c>
      <c r="G141" s="9">
        <v>0</v>
      </c>
      <c r="H141" s="47"/>
      <c r="I141" s="46"/>
    </row>
    <row r="142" spans="1:9" s="20" customFormat="1" ht="54" customHeight="1">
      <c r="A142" s="22" t="s">
        <v>147</v>
      </c>
      <c r="B142" s="23" t="s">
        <v>173</v>
      </c>
      <c r="C142" s="4"/>
      <c r="D142" s="24">
        <f>D143+D144+D145+D146</f>
        <v>0</v>
      </c>
      <c r="E142" s="5"/>
      <c r="F142" s="28">
        <f>F143+F144</f>
        <v>0</v>
      </c>
      <c r="G142" s="28">
        <f aca="true" t="shared" si="7" ref="G142:G150">D142+F142</f>
        <v>0</v>
      </c>
      <c r="H142" s="47"/>
      <c r="I142" s="46"/>
    </row>
    <row r="143" spans="1:9" s="20" customFormat="1" ht="47.25">
      <c r="A143" s="18" t="s">
        <v>165</v>
      </c>
      <c r="B143" s="4" t="s">
        <v>166</v>
      </c>
      <c r="C143" s="4"/>
      <c r="D143" s="17"/>
      <c r="E143" s="61" t="s">
        <v>267</v>
      </c>
      <c r="F143" s="19">
        <v>0</v>
      </c>
      <c r="G143" s="19">
        <f t="shared" si="7"/>
        <v>0</v>
      </c>
      <c r="I143" s="46"/>
    </row>
    <row r="144" spans="1:9" s="20" customFormat="1" ht="47.25">
      <c r="A144" s="18" t="s">
        <v>84</v>
      </c>
      <c r="B144" s="4" t="s">
        <v>85</v>
      </c>
      <c r="C144" s="4"/>
      <c r="D144" s="5"/>
      <c r="E144" s="4" t="s">
        <v>330</v>
      </c>
      <c r="F144" s="19">
        <v>0</v>
      </c>
      <c r="G144" s="19">
        <f t="shared" si="7"/>
        <v>0</v>
      </c>
      <c r="I144" s="46"/>
    </row>
    <row r="145" spans="1:9" s="20" customFormat="1" ht="31.5" customHeight="1">
      <c r="A145" s="18" t="s">
        <v>77</v>
      </c>
      <c r="B145" s="4" t="s">
        <v>92</v>
      </c>
      <c r="C145" s="61" t="s">
        <v>250</v>
      </c>
      <c r="D145" s="17">
        <v>0</v>
      </c>
      <c r="E145" s="4"/>
      <c r="F145" s="9"/>
      <c r="G145" s="19">
        <f t="shared" si="7"/>
        <v>0</v>
      </c>
      <c r="I145" s="46"/>
    </row>
    <row r="146" spans="1:9" s="20" customFormat="1" ht="47.25">
      <c r="A146" s="18" t="s">
        <v>102</v>
      </c>
      <c r="B146" s="4" t="s">
        <v>218</v>
      </c>
      <c r="C146" s="4" t="s">
        <v>331</v>
      </c>
      <c r="D146" s="17">
        <v>0</v>
      </c>
      <c r="E146" s="4"/>
      <c r="F146" s="9"/>
      <c r="G146" s="19">
        <f t="shared" si="7"/>
        <v>0</v>
      </c>
      <c r="I146" s="46"/>
    </row>
    <row r="147" spans="1:9" s="20" customFormat="1" ht="47.25">
      <c r="A147" s="22" t="s">
        <v>182</v>
      </c>
      <c r="B147" s="23" t="s">
        <v>183</v>
      </c>
      <c r="C147" s="4"/>
      <c r="D147" s="24">
        <f>D148</f>
        <v>0</v>
      </c>
      <c r="E147" s="5"/>
      <c r="F147" s="24">
        <f>F148</f>
        <v>0</v>
      </c>
      <c r="G147" s="24">
        <f t="shared" si="7"/>
        <v>0</v>
      </c>
      <c r="H147" s="47"/>
      <c r="I147" s="46"/>
    </row>
    <row r="148" spans="1:9" s="20" customFormat="1" ht="48.75" customHeight="1">
      <c r="A148" s="18" t="s">
        <v>165</v>
      </c>
      <c r="B148" s="4" t="s">
        <v>166</v>
      </c>
      <c r="C148" s="4"/>
      <c r="D148" s="17"/>
      <c r="E148" s="4" t="s">
        <v>267</v>
      </c>
      <c r="F148" s="19">
        <v>0</v>
      </c>
      <c r="G148" s="24">
        <f t="shared" si="7"/>
        <v>0</v>
      </c>
      <c r="I148" s="46"/>
    </row>
    <row r="149" spans="1:9" s="20" customFormat="1" ht="45.75" customHeight="1">
      <c r="A149" s="22" t="s">
        <v>145</v>
      </c>
      <c r="B149" s="23" t="s">
        <v>225</v>
      </c>
      <c r="C149" s="4"/>
      <c r="D149" s="24">
        <f>D151+D152+D153+D154+D159+D160+D172</f>
        <v>0</v>
      </c>
      <c r="E149" s="5"/>
      <c r="F149" s="28">
        <f>F150+F151+F152+F153+F154+F155+F157+F158+F159+F160+F162+F163+F165+F166+F167+F169+F170+F171+F172</f>
        <v>0</v>
      </c>
      <c r="G149" s="28">
        <f t="shared" si="7"/>
        <v>0</v>
      </c>
      <c r="H149" s="47"/>
      <c r="I149" s="46"/>
    </row>
    <row r="150" spans="1:9" s="20" customFormat="1" ht="45.75" customHeight="1">
      <c r="A150" s="454" t="s">
        <v>165</v>
      </c>
      <c r="B150" s="453" t="s">
        <v>166</v>
      </c>
      <c r="C150" s="4"/>
      <c r="D150" s="24"/>
      <c r="E150" s="61" t="s">
        <v>267</v>
      </c>
      <c r="F150" s="19"/>
      <c r="G150" s="19">
        <f t="shared" si="7"/>
        <v>0</v>
      </c>
      <c r="H150" s="47"/>
      <c r="I150" s="46"/>
    </row>
    <row r="151" spans="1:9" s="20" customFormat="1" ht="61.5" customHeight="1">
      <c r="A151" s="454"/>
      <c r="B151" s="453"/>
      <c r="C151" s="61" t="s">
        <v>282</v>
      </c>
      <c r="D151" s="17">
        <v>0</v>
      </c>
      <c r="E151" s="4"/>
      <c r="F151" s="19"/>
      <c r="G151" s="19">
        <f aca="true" t="shared" si="8" ref="G151:G172">D151+F151</f>
        <v>0</v>
      </c>
      <c r="I151" s="46"/>
    </row>
    <row r="152" spans="1:9" s="20" customFormat="1" ht="47.25">
      <c r="A152" s="18" t="s">
        <v>86</v>
      </c>
      <c r="B152" s="4" t="s">
        <v>93</v>
      </c>
      <c r="C152" s="61" t="s">
        <v>270</v>
      </c>
      <c r="D152" s="17">
        <v>0</v>
      </c>
      <c r="E152" s="4"/>
      <c r="F152" s="9"/>
      <c r="G152" s="19">
        <f t="shared" si="8"/>
        <v>0</v>
      </c>
      <c r="I152" s="46"/>
    </row>
    <row r="153" spans="1:9" s="20" customFormat="1" ht="47.25">
      <c r="A153" s="454" t="s">
        <v>216</v>
      </c>
      <c r="B153" s="453" t="s">
        <v>217</v>
      </c>
      <c r="C153" s="61" t="s">
        <v>270</v>
      </c>
      <c r="D153" s="17">
        <v>0</v>
      </c>
      <c r="E153" s="4"/>
      <c r="F153" s="9"/>
      <c r="G153" s="19">
        <f t="shared" si="8"/>
        <v>0</v>
      </c>
      <c r="I153" s="46"/>
    </row>
    <row r="154" spans="1:9" s="20" customFormat="1" ht="47.25">
      <c r="A154" s="454"/>
      <c r="B154" s="453"/>
      <c r="C154" s="61" t="s">
        <v>264</v>
      </c>
      <c r="D154" s="37">
        <v>0</v>
      </c>
      <c r="E154" s="4"/>
      <c r="F154" s="9"/>
      <c r="G154" s="19">
        <f t="shared" si="8"/>
        <v>0</v>
      </c>
      <c r="I154" s="46"/>
    </row>
    <row r="155" spans="1:9" s="20" customFormat="1" ht="47.25">
      <c r="A155" s="454" t="s">
        <v>114</v>
      </c>
      <c r="B155" s="453" t="s">
        <v>115</v>
      </c>
      <c r="C155" s="4"/>
      <c r="D155" s="17"/>
      <c r="E155" s="4" t="s">
        <v>231</v>
      </c>
      <c r="F155" s="19">
        <v>0</v>
      </c>
      <c r="G155" s="19">
        <f t="shared" si="8"/>
        <v>0</v>
      </c>
      <c r="I155" s="46"/>
    </row>
    <row r="156" spans="1:9" s="20" customFormat="1" ht="47.25" customHeight="1" hidden="1">
      <c r="A156" s="454"/>
      <c r="B156" s="453"/>
      <c r="C156" s="4" t="s">
        <v>226</v>
      </c>
      <c r="D156" s="17">
        <v>0</v>
      </c>
      <c r="E156" s="4" t="s">
        <v>231</v>
      </c>
      <c r="F156" s="9"/>
      <c r="G156" s="19">
        <f t="shared" si="8"/>
        <v>0</v>
      </c>
      <c r="I156" s="46"/>
    </row>
    <row r="157" spans="1:9" s="20" customFormat="1" ht="47.25">
      <c r="A157" s="454"/>
      <c r="B157" s="453"/>
      <c r="C157" s="4"/>
      <c r="D157" s="17"/>
      <c r="E157" s="61" t="s">
        <v>264</v>
      </c>
      <c r="F157" s="37">
        <v>0</v>
      </c>
      <c r="G157" s="19">
        <f t="shared" si="8"/>
        <v>0</v>
      </c>
      <c r="I157" s="46"/>
    </row>
    <row r="158" spans="1:9" s="20" customFormat="1" ht="56.25" customHeight="1">
      <c r="A158" s="18" t="s">
        <v>260</v>
      </c>
      <c r="B158" s="4" t="s">
        <v>261</v>
      </c>
      <c r="C158" s="4"/>
      <c r="D158" s="17"/>
      <c r="E158" s="4" t="s">
        <v>231</v>
      </c>
      <c r="F158" s="19">
        <v>0</v>
      </c>
      <c r="G158" s="19">
        <f t="shared" si="8"/>
        <v>0</v>
      </c>
      <c r="I158" s="46"/>
    </row>
    <row r="159" spans="1:9" s="20" customFormat="1" ht="51.75" customHeight="1">
      <c r="A159" s="454" t="s">
        <v>94</v>
      </c>
      <c r="B159" s="453" t="s">
        <v>116</v>
      </c>
      <c r="C159" s="61" t="s">
        <v>270</v>
      </c>
      <c r="D159" s="62">
        <v>0</v>
      </c>
      <c r="E159" s="4" t="s">
        <v>231</v>
      </c>
      <c r="F159" s="19">
        <v>0</v>
      </c>
      <c r="G159" s="19">
        <f t="shared" si="8"/>
        <v>0</v>
      </c>
      <c r="I159" s="46"/>
    </row>
    <row r="160" spans="1:9" s="20" customFormat="1" ht="47.25">
      <c r="A160" s="454"/>
      <c r="B160" s="453"/>
      <c r="C160" s="61" t="s">
        <v>264</v>
      </c>
      <c r="D160" s="37">
        <v>0</v>
      </c>
      <c r="E160" s="35" t="s">
        <v>315</v>
      </c>
      <c r="F160" s="37">
        <v>0</v>
      </c>
      <c r="G160" s="19">
        <f t="shared" si="8"/>
        <v>0</v>
      </c>
      <c r="I160" s="46"/>
    </row>
    <row r="161" spans="1:9" s="20" customFormat="1" ht="47.25" hidden="1">
      <c r="A161" s="18" t="s">
        <v>287</v>
      </c>
      <c r="B161" s="4" t="s">
        <v>288</v>
      </c>
      <c r="C161" s="35"/>
      <c r="D161" s="37"/>
      <c r="E161" s="4" t="s">
        <v>270</v>
      </c>
      <c r="F161" s="36">
        <v>0</v>
      </c>
      <c r="G161" s="19">
        <f t="shared" si="8"/>
        <v>0</v>
      </c>
      <c r="I161" s="46"/>
    </row>
    <row r="162" spans="1:9" s="20" customFormat="1" ht="51" customHeight="1">
      <c r="A162" s="454" t="s">
        <v>84</v>
      </c>
      <c r="B162" s="453" t="s">
        <v>85</v>
      </c>
      <c r="C162" s="4"/>
      <c r="D162" s="5"/>
      <c r="E162" s="4" t="s">
        <v>231</v>
      </c>
      <c r="F162" s="12">
        <v>0</v>
      </c>
      <c r="G162" s="19">
        <f t="shared" si="8"/>
        <v>0</v>
      </c>
      <c r="I162" s="46"/>
    </row>
    <row r="163" spans="1:9" s="20" customFormat="1" ht="31.5">
      <c r="A163" s="454"/>
      <c r="B163" s="453"/>
      <c r="C163" s="4"/>
      <c r="D163" s="5"/>
      <c r="E163" s="35" t="s">
        <v>315</v>
      </c>
      <c r="F163" s="37">
        <v>0</v>
      </c>
      <c r="G163" s="19">
        <f t="shared" si="8"/>
        <v>0</v>
      </c>
      <c r="I163" s="46"/>
    </row>
    <row r="164" spans="1:9" s="51" customFormat="1" ht="46.5" customHeight="1" hidden="1">
      <c r="A164" s="458" t="s">
        <v>39</v>
      </c>
      <c r="B164" s="456" t="s">
        <v>204</v>
      </c>
      <c r="C164" s="4"/>
      <c r="D164" s="5"/>
      <c r="E164" s="4" t="s">
        <v>270</v>
      </c>
      <c r="F164" s="19">
        <v>0</v>
      </c>
      <c r="G164" s="19">
        <f t="shared" si="8"/>
        <v>0</v>
      </c>
      <c r="H164" s="20"/>
      <c r="I164" s="52"/>
    </row>
    <row r="165" spans="1:9" s="51" customFormat="1" ht="69.75" customHeight="1">
      <c r="A165" s="460"/>
      <c r="B165" s="461"/>
      <c r="C165" s="4"/>
      <c r="D165" s="5"/>
      <c r="E165" s="4" t="s">
        <v>332</v>
      </c>
      <c r="F165" s="19">
        <v>0</v>
      </c>
      <c r="G165" s="19">
        <f t="shared" si="8"/>
        <v>0</v>
      </c>
      <c r="H165" s="20"/>
      <c r="I165" s="52"/>
    </row>
    <row r="166" spans="1:9" s="51" customFormat="1" ht="87" customHeight="1">
      <c r="A166" s="459"/>
      <c r="B166" s="457"/>
      <c r="C166" s="4"/>
      <c r="D166" s="5"/>
      <c r="E166" s="4" t="s">
        <v>333</v>
      </c>
      <c r="F166" s="19">
        <v>0</v>
      </c>
      <c r="G166" s="19">
        <f t="shared" si="8"/>
        <v>0</v>
      </c>
      <c r="H166" s="20"/>
      <c r="I166" s="52"/>
    </row>
    <row r="167" spans="1:9" s="20" customFormat="1" ht="69.75" customHeight="1">
      <c r="A167" s="18" t="s">
        <v>96</v>
      </c>
      <c r="B167" s="4" t="s">
        <v>97</v>
      </c>
      <c r="C167" s="4"/>
      <c r="D167" s="5"/>
      <c r="E167" s="61" t="s">
        <v>270</v>
      </c>
      <c r="F167" s="19">
        <v>0</v>
      </c>
      <c r="G167" s="19">
        <f t="shared" si="8"/>
        <v>0</v>
      </c>
      <c r="I167" s="46"/>
    </row>
    <row r="168" spans="1:9" s="20" customFormat="1" ht="27.75" customHeight="1" hidden="1">
      <c r="A168" s="4">
        <v>180107</v>
      </c>
      <c r="B168" s="4" t="s">
        <v>213</v>
      </c>
      <c r="C168" s="4"/>
      <c r="D168" s="17"/>
      <c r="E168" s="4" t="s">
        <v>231</v>
      </c>
      <c r="F168" s="19">
        <v>0</v>
      </c>
      <c r="G168" s="19">
        <f t="shared" si="8"/>
        <v>0</v>
      </c>
      <c r="I168" s="46"/>
    </row>
    <row r="169" spans="1:9" s="20" customFormat="1" ht="63" customHeight="1">
      <c r="A169" s="453">
        <v>180409</v>
      </c>
      <c r="B169" s="453" t="s">
        <v>224</v>
      </c>
      <c r="C169" s="4"/>
      <c r="D169" s="17"/>
      <c r="E169" s="4" t="s">
        <v>231</v>
      </c>
      <c r="F169" s="19">
        <v>0</v>
      </c>
      <c r="G169" s="19">
        <f t="shared" si="8"/>
        <v>0</v>
      </c>
      <c r="I169" s="46"/>
    </row>
    <row r="170" spans="1:9" s="20" customFormat="1" ht="47.25">
      <c r="A170" s="453"/>
      <c r="B170" s="453"/>
      <c r="C170" s="4"/>
      <c r="D170" s="17"/>
      <c r="E170" s="4" t="s">
        <v>334</v>
      </c>
      <c r="F170" s="19">
        <v>0</v>
      </c>
      <c r="G170" s="19">
        <f t="shared" si="8"/>
        <v>0</v>
      </c>
      <c r="I170" s="46"/>
    </row>
    <row r="171" spans="1:9" s="20" customFormat="1" ht="47.25">
      <c r="A171" s="18" t="s">
        <v>29</v>
      </c>
      <c r="B171" s="4" t="s">
        <v>106</v>
      </c>
      <c r="C171" s="4"/>
      <c r="D171" s="5"/>
      <c r="E171" s="4" t="s">
        <v>324</v>
      </c>
      <c r="F171" s="19">
        <v>0</v>
      </c>
      <c r="G171" s="19">
        <f t="shared" si="8"/>
        <v>0</v>
      </c>
      <c r="I171" s="46"/>
    </row>
    <row r="172" spans="1:9" s="20" customFormat="1" ht="45.75" customHeight="1">
      <c r="A172" s="18" t="s">
        <v>77</v>
      </c>
      <c r="B172" s="4" t="s">
        <v>92</v>
      </c>
      <c r="C172" s="61" t="s">
        <v>270</v>
      </c>
      <c r="D172" s="17">
        <v>0</v>
      </c>
      <c r="E172" s="4" t="s">
        <v>231</v>
      </c>
      <c r="F172" s="12">
        <v>0</v>
      </c>
      <c r="G172" s="19">
        <f t="shared" si="8"/>
        <v>0</v>
      </c>
      <c r="I172" s="46"/>
    </row>
    <row r="173" spans="1:9" s="20" customFormat="1" ht="38.25" hidden="1">
      <c r="A173" s="18" t="s">
        <v>39</v>
      </c>
      <c r="B173" s="29" t="s">
        <v>204</v>
      </c>
      <c r="C173" s="4"/>
      <c r="D173" s="5"/>
      <c r="E173" s="4" t="s">
        <v>209</v>
      </c>
      <c r="F173" s="12">
        <v>0</v>
      </c>
      <c r="G173" s="9">
        <v>0</v>
      </c>
      <c r="I173" s="46"/>
    </row>
    <row r="174" spans="1:9" s="20" customFormat="1" ht="70.5" customHeight="1" hidden="1">
      <c r="A174" s="22" t="s">
        <v>223</v>
      </c>
      <c r="B174" s="23" t="s">
        <v>222</v>
      </c>
      <c r="C174" s="23"/>
      <c r="D174" s="24">
        <v>0</v>
      </c>
      <c r="E174" s="23"/>
      <c r="F174" s="30"/>
      <c r="G174" s="27">
        <v>0</v>
      </c>
      <c r="I174" s="46"/>
    </row>
    <row r="175" spans="1:9" s="20" customFormat="1" ht="36" customHeight="1" hidden="1">
      <c r="A175" s="18" t="s">
        <v>86</v>
      </c>
      <c r="B175" s="4" t="s">
        <v>93</v>
      </c>
      <c r="C175" s="4" t="s">
        <v>118</v>
      </c>
      <c r="D175" s="17">
        <v>0</v>
      </c>
      <c r="E175" s="4"/>
      <c r="F175" s="12"/>
      <c r="G175" s="9">
        <v>0</v>
      </c>
      <c r="I175" s="46"/>
    </row>
    <row r="176" spans="1:9" s="20" customFormat="1" ht="47.25" customHeight="1" hidden="1">
      <c r="A176" s="18" t="s">
        <v>94</v>
      </c>
      <c r="B176" s="4" t="s">
        <v>116</v>
      </c>
      <c r="C176" s="4" t="s">
        <v>202</v>
      </c>
      <c r="D176" s="17">
        <v>0</v>
      </c>
      <c r="E176" s="4"/>
      <c r="F176" s="12"/>
      <c r="G176" s="9">
        <v>0</v>
      </c>
      <c r="I176" s="46"/>
    </row>
    <row r="177" spans="1:9" s="20" customFormat="1" ht="47.25">
      <c r="A177" s="22" t="s">
        <v>146</v>
      </c>
      <c r="B177" s="23" t="s">
        <v>53</v>
      </c>
      <c r="C177" s="4"/>
      <c r="D177" s="24">
        <f>D179</f>
        <v>0</v>
      </c>
      <c r="E177" s="5"/>
      <c r="F177" s="24">
        <f>F178</f>
        <v>0</v>
      </c>
      <c r="G177" s="28">
        <f aca="true" t="shared" si="9" ref="G177:G184">D177+F177</f>
        <v>0</v>
      </c>
      <c r="H177" s="47"/>
      <c r="I177" s="46"/>
    </row>
    <row r="178" spans="1:9" s="20" customFormat="1" ht="48" customHeight="1">
      <c r="A178" s="18" t="s">
        <v>165</v>
      </c>
      <c r="B178" s="4" t="s">
        <v>166</v>
      </c>
      <c r="C178" s="4"/>
      <c r="D178" s="17"/>
      <c r="E178" s="4" t="s">
        <v>313</v>
      </c>
      <c r="F178" s="19">
        <v>0</v>
      </c>
      <c r="G178" s="19">
        <f t="shared" si="9"/>
        <v>0</v>
      </c>
      <c r="I178" s="46"/>
    </row>
    <row r="179" spans="1:9" s="20" customFormat="1" ht="63">
      <c r="A179" s="18" t="s">
        <v>77</v>
      </c>
      <c r="B179" s="4" t="s">
        <v>92</v>
      </c>
      <c r="C179" s="61" t="s">
        <v>282</v>
      </c>
      <c r="D179" s="17">
        <v>0</v>
      </c>
      <c r="E179" s="4"/>
      <c r="F179" s="9"/>
      <c r="G179" s="19">
        <f t="shared" si="9"/>
        <v>0</v>
      </c>
      <c r="I179" s="46"/>
    </row>
    <row r="180" spans="1:9" s="20" customFormat="1" ht="47.25">
      <c r="A180" s="22" t="s">
        <v>150</v>
      </c>
      <c r="B180" s="23" t="s">
        <v>55</v>
      </c>
      <c r="C180" s="4"/>
      <c r="D180" s="24">
        <f>D181+D182+D183+D184</f>
        <v>0</v>
      </c>
      <c r="E180" s="5"/>
      <c r="F180" s="28">
        <f>F181</f>
        <v>0</v>
      </c>
      <c r="G180" s="28">
        <f t="shared" si="9"/>
        <v>0</v>
      </c>
      <c r="I180" s="46"/>
    </row>
    <row r="181" spans="1:9" s="20" customFormat="1" ht="60" customHeight="1">
      <c r="A181" s="18" t="s">
        <v>165</v>
      </c>
      <c r="B181" s="4" t="s">
        <v>166</v>
      </c>
      <c r="C181" s="4"/>
      <c r="D181" s="17"/>
      <c r="E181" s="4" t="s">
        <v>267</v>
      </c>
      <c r="F181" s="19">
        <v>0</v>
      </c>
      <c r="G181" s="19">
        <f t="shared" si="9"/>
        <v>0</v>
      </c>
      <c r="I181" s="46"/>
    </row>
    <row r="182" spans="1:9" s="20" customFormat="1" ht="63">
      <c r="A182" s="452">
        <v>250404</v>
      </c>
      <c r="B182" s="452" t="s">
        <v>92</v>
      </c>
      <c r="C182" s="4" t="s">
        <v>291</v>
      </c>
      <c r="D182" s="21">
        <v>0</v>
      </c>
      <c r="E182" s="9"/>
      <c r="F182" s="31"/>
      <c r="G182" s="19">
        <f t="shared" si="9"/>
        <v>0</v>
      </c>
      <c r="I182" s="46"/>
    </row>
    <row r="183" spans="1:9" s="20" customFormat="1" ht="51" customHeight="1">
      <c r="A183" s="452"/>
      <c r="B183" s="452"/>
      <c r="C183" s="4" t="s">
        <v>309</v>
      </c>
      <c r="D183" s="21">
        <v>0</v>
      </c>
      <c r="E183" s="9"/>
      <c r="F183" s="31"/>
      <c r="G183" s="19">
        <f t="shared" si="9"/>
        <v>0</v>
      </c>
      <c r="I183" s="46"/>
    </row>
    <row r="184" spans="1:9" s="20" customFormat="1" ht="66" customHeight="1">
      <c r="A184" s="464"/>
      <c r="B184" s="452"/>
      <c r="C184" s="4" t="s">
        <v>310</v>
      </c>
      <c r="D184" s="21">
        <v>0</v>
      </c>
      <c r="E184" s="4"/>
      <c r="F184" s="9"/>
      <c r="G184" s="19">
        <f t="shared" si="9"/>
        <v>0</v>
      </c>
      <c r="I184" s="46"/>
    </row>
    <row r="185" spans="1:9" s="20" customFormat="1" ht="31.5" hidden="1">
      <c r="A185" s="22">
        <v>50</v>
      </c>
      <c r="B185" s="23" t="s">
        <v>186</v>
      </c>
      <c r="C185" s="4"/>
      <c r="D185" s="24">
        <v>0</v>
      </c>
      <c r="E185" s="5"/>
      <c r="F185" s="27">
        <v>0</v>
      </c>
      <c r="G185" s="27">
        <v>0</v>
      </c>
      <c r="I185" s="46"/>
    </row>
    <row r="186" spans="1:9" s="20" customFormat="1" ht="48.75" customHeight="1" hidden="1">
      <c r="A186" s="18" t="s">
        <v>165</v>
      </c>
      <c r="B186" s="4" t="s">
        <v>166</v>
      </c>
      <c r="C186" s="4" t="s">
        <v>178</v>
      </c>
      <c r="D186" s="21"/>
      <c r="E186" s="4"/>
      <c r="F186" s="9"/>
      <c r="G186" s="9">
        <v>0</v>
      </c>
      <c r="I186" s="46"/>
    </row>
    <row r="187" spans="1:9" s="20" customFormat="1" ht="47.25">
      <c r="A187" s="22" t="s">
        <v>154</v>
      </c>
      <c r="B187" s="23" t="s">
        <v>59</v>
      </c>
      <c r="C187" s="23"/>
      <c r="D187" s="24">
        <v>0</v>
      </c>
      <c r="E187" s="32"/>
      <c r="F187" s="24">
        <f>F188+F189</f>
        <v>0</v>
      </c>
      <c r="G187" s="24">
        <f aca="true" t="shared" si="10" ref="G187:G195">D187+F187</f>
        <v>0</v>
      </c>
      <c r="H187" s="47"/>
      <c r="I187" s="46"/>
    </row>
    <row r="188" spans="1:9" s="20" customFormat="1" ht="47.25">
      <c r="A188" s="18" t="s">
        <v>165</v>
      </c>
      <c r="B188" s="4" t="s">
        <v>166</v>
      </c>
      <c r="C188" s="4"/>
      <c r="D188" s="17"/>
      <c r="E188" s="4" t="s">
        <v>300</v>
      </c>
      <c r="F188" s="17">
        <v>0</v>
      </c>
      <c r="G188" s="17">
        <f t="shared" si="10"/>
        <v>0</v>
      </c>
      <c r="I188" s="46"/>
    </row>
    <row r="189" spans="1:9" s="20" customFormat="1" ht="47.25">
      <c r="A189" s="18" t="s">
        <v>41</v>
      </c>
      <c r="B189" s="4" t="s">
        <v>42</v>
      </c>
      <c r="C189" s="4"/>
      <c r="D189" s="17"/>
      <c r="E189" s="4" t="s">
        <v>301</v>
      </c>
      <c r="F189" s="19">
        <v>0</v>
      </c>
      <c r="G189" s="17">
        <f t="shared" si="10"/>
        <v>0</v>
      </c>
      <c r="I189" s="46"/>
    </row>
    <row r="190" spans="1:9" s="20" customFormat="1" ht="50.25" customHeight="1">
      <c r="A190" s="22" t="s">
        <v>151</v>
      </c>
      <c r="B190" s="23" t="s">
        <v>56</v>
      </c>
      <c r="C190" s="4"/>
      <c r="D190" s="24">
        <f>D194</f>
        <v>0</v>
      </c>
      <c r="E190" s="5"/>
      <c r="F190" s="24">
        <f>F192+F193</f>
        <v>0</v>
      </c>
      <c r="G190" s="24">
        <f t="shared" si="10"/>
        <v>0</v>
      </c>
      <c r="H190" s="47"/>
      <c r="I190" s="46"/>
    </row>
    <row r="191" spans="1:9" s="20" customFormat="1" ht="33" customHeight="1" hidden="1">
      <c r="A191" s="18" t="s">
        <v>165</v>
      </c>
      <c r="B191" s="4" t="s">
        <v>166</v>
      </c>
      <c r="C191" s="4" t="s">
        <v>181</v>
      </c>
      <c r="D191" s="17"/>
      <c r="E191" s="4"/>
      <c r="F191" s="19"/>
      <c r="G191" s="24">
        <f t="shared" si="10"/>
        <v>0</v>
      </c>
      <c r="I191" s="46"/>
    </row>
    <row r="192" spans="1:9" s="20" customFormat="1" ht="47.25">
      <c r="A192" s="4">
        <v>240601</v>
      </c>
      <c r="B192" s="4" t="s">
        <v>106</v>
      </c>
      <c r="C192" s="4"/>
      <c r="D192" s="5"/>
      <c r="E192" s="4" t="s">
        <v>290</v>
      </c>
      <c r="F192" s="19">
        <v>0</v>
      </c>
      <c r="G192" s="17">
        <f t="shared" si="10"/>
        <v>0</v>
      </c>
      <c r="I192" s="46"/>
    </row>
    <row r="193" spans="1:9" s="20" customFormat="1" ht="72" customHeight="1">
      <c r="A193" s="4">
        <v>240900</v>
      </c>
      <c r="B193" s="4" t="s">
        <v>221</v>
      </c>
      <c r="C193" s="4"/>
      <c r="D193" s="5"/>
      <c r="E193" s="4" t="s">
        <v>280</v>
      </c>
      <c r="F193" s="19">
        <v>0</v>
      </c>
      <c r="G193" s="17">
        <f t="shared" si="10"/>
        <v>0</v>
      </c>
      <c r="I193" s="46"/>
    </row>
    <row r="194" spans="1:9" s="20" customFormat="1" ht="54" customHeight="1">
      <c r="A194" s="4">
        <v>250404</v>
      </c>
      <c r="B194" s="4" t="s">
        <v>210</v>
      </c>
      <c r="C194" s="4" t="s">
        <v>308</v>
      </c>
      <c r="D194" s="17">
        <v>0</v>
      </c>
      <c r="E194" s="4"/>
      <c r="F194" s="19"/>
      <c r="G194" s="17">
        <f t="shared" si="10"/>
        <v>0</v>
      </c>
      <c r="I194" s="46"/>
    </row>
    <row r="195" spans="1:9" s="20" customFormat="1" ht="47.25">
      <c r="A195" s="22" t="s">
        <v>149</v>
      </c>
      <c r="B195" s="23" t="s">
        <v>57</v>
      </c>
      <c r="C195" s="4"/>
      <c r="D195" s="24">
        <f>D197+D198+D204+D206</f>
        <v>0</v>
      </c>
      <c r="E195" s="5"/>
      <c r="F195" s="24">
        <f>F200+F201+F202+F204+F206</f>
        <v>0</v>
      </c>
      <c r="G195" s="24">
        <f t="shared" si="10"/>
        <v>0</v>
      </c>
      <c r="H195" s="47"/>
      <c r="I195" s="46"/>
    </row>
    <row r="196" spans="1:9" s="20" customFormat="1" ht="69" customHeight="1" hidden="1">
      <c r="A196" s="18" t="s">
        <v>165</v>
      </c>
      <c r="B196" s="4" t="s">
        <v>166</v>
      </c>
      <c r="C196" s="4" t="s">
        <v>184</v>
      </c>
      <c r="D196" s="17"/>
      <c r="E196" s="5"/>
      <c r="F196" s="9"/>
      <c r="G196" s="24">
        <f aca="true" t="shared" si="11" ref="G196:G206">D196+F196</f>
        <v>0</v>
      </c>
      <c r="I196" s="46"/>
    </row>
    <row r="197" spans="1:9" s="20" customFormat="1" ht="84.75" customHeight="1">
      <c r="A197" s="18" t="s">
        <v>31</v>
      </c>
      <c r="B197" s="4" t="s">
        <v>32</v>
      </c>
      <c r="C197" s="4" t="s">
        <v>296</v>
      </c>
      <c r="D197" s="17">
        <v>0</v>
      </c>
      <c r="E197" s="4"/>
      <c r="F197" s="19"/>
      <c r="G197" s="17">
        <f t="shared" si="11"/>
        <v>0</v>
      </c>
      <c r="I197" s="46"/>
    </row>
    <row r="198" spans="1:9" s="20" customFormat="1" ht="72.75" customHeight="1">
      <c r="A198" s="18" t="s">
        <v>82</v>
      </c>
      <c r="B198" s="4" t="s">
        <v>83</v>
      </c>
      <c r="C198" s="4" t="s">
        <v>252</v>
      </c>
      <c r="D198" s="17">
        <v>0</v>
      </c>
      <c r="E198" s="4"/>
      <c r="F198" s="9"/>
      <c r="G198" s="17">
        <f t="shared" si="11"/>
        <v>0</v>
      </c>
      <c r="I198" s="46"/>
    </row>
    <row r="199" spans="1:9" s="20" customFormat="1" ht="78.75" hidden="1">
      <c r="A199" s="458" t="s">
        <v>84</v>
      </c>
      <c r="B199" s="456" t="s">
        <v>85</v>
      </c>
      <c r="C199" s="4"/>
      <c r="D199" s="17"/>
      <c r="E199" s="4" t="s">
        <v>252</v>
      </c>
      <c r="F199" s="19">
        <v>0</v>
      </c>
      <c r="G199" s="24">
        <f t="shared" si="11"/>
        <v>0</v>
      </c>
      <c r="I199" s="46"/>
    </row>
    <row r="200" spans="1:9" s="20" customFormat="1" ht="63">
      <c r="A200" s="459"/>
      <c r="B200" s="457"/>
      <c r="C200" s="4"/>
      <c r="D200" s="17"/>
      <c r="E200" s="4" t="s">
        <v>268</v>
      </c>
      <c r="F200" s="19">
        <v>0</v>
      </c>
      <c r="G200" s="17">
        <f t="shared" si="11"/>
        <v>0</v>
      </c>
      <c r="I200" s="46"/>
    </row>
    <row r="201" spans="1:9" s="20" customFormat="1" ht="62.25" customHeight="1">
      <c r="A201" s="454" t="s">
        <v>98</v>
      </c>
      <c r="B201" s="453" t="s">
        <v>224</v>
      </c>
      <c r="C201" s="453"/>
      <c r="D201" s="17"/>
      <c r="E201" s="4" t="s">
        <v>252</v>
      </c>
      <c r="F201" s="19">
        <v>0</v>
      </c>
      <c r="G201" s="17">
        <f t="shared" si="11"/>
        <v>0</v>
      </c>
      <c r="I201" s="46"/>
    </row>
    <row r="202" spans="1:9" s="20" customFormat="1" ht="63">
      <c r="A202" s="454"/>
      <c r="B202" s="453"/>
      <c r="C202" s="453"/>
      <c r="D202" s="465"/>
      <c r="E202" s="4" t="s">
        <v>281</v>
      </c>
      <c r="F202" s="19">
        <v>0</v>
      </c>
      <c r="G202" s="17">
        <f t="shared" si="11"/>
        <v>0</v>
      </c>
      <c r="I202" s="46"/>
    </row>
    <row r="203" spans="1:9" s="20" customFormat="1" ht="47.25" hidden="1">
      <c r="A203" s="454"/>
      <c r="B203" s="453"/>
      <c r="C203" s="453"/>
      <c r="D203" s="465"/>
      <c r="E203" s="4" t="s">
        <v>304</v>
      </c>
      <c r="F203" s="9">
        <v>0</v>
      </c>
      <c r="G203" s="17">
        <f t="shared" si="11"/>
        <v>0</v>
      </c>
      <c r="I203" s="46"/>
    </row>
    <row r="204" spans="1:9" s="20" customFormat="1" ht="69" customHeight="1">
      <c r="A204" s="18" t="s">
        <v>214</v>
      </c>
      <c r="B204" s="4" t="s">
        <v>215</v>
      </c>
      <c r="C204" s="4" t="s">
        <v>252</v>
      </c>
      <c r="D204" s="17">
        <v>0</v>
      </c>
      <c r="E204" s="4" t="s">
        <v>281</v>
      </c>
      <c r="F204" s="19">
        <v>0</v>
      </c>
      <c r="G204" s="17">
        <f t="shared" si="11"/>
        <v>0</v>
      </c>
      <c r="I204" s="46"/>
    </row>
    <row r="205" spans="1:9" s="20" customFormat="1" ht="63">
      <c r="A205" s="454" t="s">
        <v>77</v>
      </c>
      <c r="B205" s="453" t="s">
        <v>92</v>
      </c>
      <c r="C205" s="4" t="s">
        <v>281</v>
      </c>
      <c r="D205" s="17">
        <v>0</v>
      </c>
      <c r="E205" s="4"/>
      <c r="F205" s="9"/>
      <c r="G205" s="17">
        <f t="shared" si="11"/>
        <v>0</v>
      </c>
      <c r="I205" s="46"/>
    </row>
    <row r="206" spans="1:9" s="20" customFormat="1" ht="63">
      <c r="A206" s="454"/>
      <c r="B206" s="453"/>
      <c r="C206" s="4" t="s">
        <v>306</v>
      </c>
      <c r="D206" s="17">
        <v>0</v>
      </c>
      <c r="E206" s="4" t="s">
        <v>306</v>
      </c>
      <c r="F206" s="19">
        <v>0</v>
      </c>
      <c r="G206" s="17">
        <f t="shared" si="11"/>
        <v>0</v>
      </c>
      <c r="I206" s="46"/>
    </row>
    <row r="207" spans="1:9" s="20" customFormat="1" ht="78.75" customHeight="1">
      <c r="A207" s="22" t="s">
        <v>144</v>
      </c>
      <c r="B207" s="23" t="s">
        <v>52</v>
      </c>
      <c r="C207" s="4"/>
      <c r="D207" s="24">
        <f>D209+D210+D211</f>
        <v>0</v>
      </c>
      <c r="E207" s="5"/>
      <c r="F207" s="28">
        <f>F209+F210</f>
        <v>0</v>
      </c>
      <c r="G207" s="28">
        <f aca="true" t="shared" si="12" ref="G207:G224">D207+F207</f>
        <v>0</v>
      </c>
      <c r="H207" s="47"/>
      <c r="I207" s="46"/>
    </row>
    <row r="208" spans="1:9" s="20" customFormat="1" ht="65.25" customHeight="1" hidden="1">
      <c r="A208" s="18" t="s">
        <v>165</v>
      </c>
      <c r="B208" s="4" t="s">
        <v>166</v>
      </c>
      <c r="C208" s="4" t="s">
        <v>175</v>
      </c>
      <c r="D208" s="17"/>
      <c r="E208" s="4"/>
      <c r="F208" s="12"/>
      <c r="G208" s="28">
        <f t="shared" si="12"/>
        <v>0</v>
      </c>
      <c r="I208" s="46"/>
    </row>
    <row r="209" spans="1:9" s="20" customFormat="1" ht="78.75" customHeight="1">
      <c r="A209" s="18" t="s">
        <v>88</v>
      </c>
      <c r="B209" s="4" t="s">
        <v>89</v>
      </c>
      <c r="C209" s="4" t="s">
        <v>271</v>
      </c>
      <c r="D209" s="17">
        <v>0</v>
      </c>
      <c r="E209" s="4" t="s">
        <v>271</v>
      </c>
      <c r="F209" s="12">
        <v>0</v>
      </c>
      <c r="G209" s="19">
        <f t="shared" si="12"/>
        <v>0</v>
      </c>
      <c r="H209" s="47"/>
      <c r="I209" s="46"/>
    </row>
    <row r="210" spans="1:9" s="20" customFormat="1" ht="78.75">
      <c r="A210" s="454" t="s">
        <v>90</v>
      </c>
      <c r="B210" s="453" t="s">
        <v>91</v>
      </c>
      <c r="C210" s="4" t="s">
        <v>271</v>
      </c>
      <c r="D210" s="17">
        <v>0</v>
      </c>
      <c r="E210" s="4" t="s">
        <v>271</v>
      </c>
      <c r="F210" s="12">
        <v>0</v>
      </c>
      <c r="G210" s="19">
        <f t="shared" si="12"/>
        <v>0</v>
      </c>
      <c r="H210" s="47"/>
      <c r="I210" s="46"/>
    </row>
    <row r="211" spans="1:9" s="20" customFormat="1" ht="68.25" customHeight="1">
      <c r="A211" s="454"/>
      <c r="B211" s="453"/>
      <c r="C211" s="4" t="s">
        <v>297</v>
      </c>
      <c r="D211" s="17">
        <v>0</v>
      </c>
      <c r="E211" s="4"/>
      <c r="F211" s="12"/>
      <c r="G211" s="19">
        <f t="shared" si="12"/>
        <v>0</v>
      </c>
      <c r="I211" s="46"/>
    </row>
    <row r="212" spans="1:9" s="20" customFormat="1" ht="47.25">
      <c r="A212" s="22" t="s">
        <v>153</v>
      </c>
      <c r="B212" s="23" t="s">
        <v>58</v>
      </c>
      <c r="C212" s="4"/>
      <c r="D212" s="24">
        <f>D217</f>
        <v>0</v>
      </c>
      <c r="E212" s="5"/>
      <c r="F212" s="24">
        <f>F213+F214+F215</f>
        <v>0</v>
      </c>
      <c r="G212" s="24">
        <f t="shared" si="12"/>
        <v>0</v>
      </c>
      <c r="H212" s="47"/>
      <c r="I212" s="46"/>
    </row>
    <row r="213" spans="1:9" s="20" customFormat="1" ht="47.25">
      <c r="A213" s="18" t="s">
        <v>165</v>
      </c>
      <c r="B213" s="4" t="s">
        <v>166</v>
      </c>
      <c r="C213" s="4"/>
      <c r="D213" s="17"/>
      <c r="E213" s="4" t="s">
        <v>251</v>
      </c>
      <c r="F213" s="17">
        <v>0</v>
      </c>
      <c r="G213" s="17">
        <f t="shared" si="12"/>
        <v>0</v>
      </c>
      <c r="I213" s="46"/>
    </row>
    <row r="214" spans="1:9" s="20" customFormat="1" ht="63">
      <c r="A214" s="18" t="s">
        <v>84</v>
      </c>
      <c r="B214" s="4" t="s">
        <v>85</v>
      </c>
      <c r="C214" s="4"/>
      <c r="D214" s="5"/>
      <c r="E214" s="4" t="s">
        <v>272</v>
      </c>
      <c r="F214" s="12">
        <v>0</v>
      </c>
      <c r="G214" s="17">
        <f t="shared" si="12"/>
        <v>0</v>
      </c>
      <c r="I214" s="46"/>
    </row>
    <row r="215" spans="1:9" s="20" customFormat="1" ht="79.5" customHeight="1">
      <c r="A215" s="18" t="s">
        <v>99</v>
      </c>
      <c r="B215" s="4" t="s">
        <v>100</v>
      </c>
      <c r="C215" s="4"/>
      <c r="D215" s="5"/>
      <c r="E215" s="4" t="s">
        <v>272</v>
      </c>
      <c r="F215" s="19">
        <v>0</v>
      </c>
      <c r="G215" s="17">
        <f t="shared" si="12"/>
        <v>0</v>
      </c>
      <c r="I215" s="46"/>
    </row>
    <row r="216" spans="1:9" s="20" customFormat="1" ht="78.75" hidden="1">
      <c r="A216" s="18" t="s">
        <v>88</v>
      </c>
      <c r="B216" s="4" t="s">
        <v>219</v>
      </c>
      <c r="C216" s="4"/>
      <c r="D216" s="17"/>
      <c r="E216" s="4" t="s">
        <v>271</v>
      </c>
      <c r="F216" s="19">
        <v>0</v>
      </c>
      <c r="G216" s="24">
        <f t="shared" si="12"/>
        <v>0</v>
      </c>
      <c r="I216" s="46"/>
    </row>
    <row r="217" spans="1:9" s="20" customFormat="1" ht="53.25" customHeight="1">
      <c r="A217" s="18" t="s">
        <v>77</v>
      </c>
      <c r="B217" s="4" t="s">
        <v>92</v>
      </c>
      <c r="C217" s="4" t="s">
        <v>256</v>
      </c>
      <c r="D217" s="17">
        <v>0</v>
      </c>
      <c r="E217" s="4"/>
      <c r="F217" s="19"/>
      <c r="G217" s="17">
        <f t="shared" si="12"/>
        <v>0</v>
      </c>
      <c r="I217" s="46"/>
    </row>
    <row r="218" spans="1:9" s="20" customFormat="1" ht="46.5" customHeight="1">
      <c r="A218" s="22" t="s">
        <v>152</v>
      </c>
      <c r="B218" s="23" t="s">
        <v>37</v>
      </c>
      <c r="C218" s="4"/>
      <c r="D218" s="24">
        <f>D220+D221+D223</f>
        <v>0</v>
      </c>
      <c r="E218" s="5"/>
      <c r="F218" s="27"/>
      <c r="G218" s="28">
        <f t="shared" si="12"/>
        <v>0</v>
      </c>
      <c r="I218" s="46"/>
    </row>
    <row r="219" spans="1:9" s="20" customFormat="1" ht="46.5" customHeight="1" hidden="1">
      <c r="A219" s="26" t="s">
        <v>165</v>
      </c>
      <c r="B219" s="4" t="s">
        <v>166</v>
      </c>
      <c r="C219" s="4" t="s">
        <v>185</v>
      </c>
      <c r="D219" s="21"/>
      <c r="E219" s="5"/>
      <c r="F219" s="19"/>
      <c r="G219" s="28">
        <f t="shared" si="12"/>
        <v>0</v>
      </c>
      <c r="I219" s="46"/>
    </row>
    <row r="220" spans="1:9" s="20" customFormat="1" ht="70.5" customHeight="1">
      <c r="A220" s="18" t="s">
        <v>165</v>
      </c>
      <c r="B220" s="4" t="s">
        <v>166</v>
      </c>
      <c r="C220" s="4" t="s">
        <v>282</v>
      </c>
      <c r="D220" s="21">
        <v>0</v>
      </c>
      <c r="E220" s="5"/>
      <c r="F220" s="19"/>
      <c r="G220" s="19">
        <f t="shared" si="12"/>
        <v>0</v>
      </c>
      <c r="I220" s="46"/>
    </row>
    <row r="221" spans="1:9" s="20" customFormat="1" ht="15.75">
      <c r="A221" s="26">
        <v>230000</v>
      </c>
      <c r="B221" s="4" t="s">
        <v>194</v>
      </c>
      <c r="C221" s="453" t="s">
        <v>311</v>
      </c>
      <c r="D221" s="21">
        <v>0</v>
      </c>
      <c r="E221" s="5"/>
      <c r="F221" s="27"/>
      <c r="G221" s="19">
        <f t="shared" si="12"/>
        <v>0</v>
      </c>
      <c r="I221" s="46"/>
    </row>
    <row r="222" spans="1:9" s="20" customFormat="1" ht="48" customHeight="1" hidden="1">
      <c r="A222" s="26">
        <v>210105</v>
      </c>
      <c r="B222" s="4"/>
      <c r="C222" s="453"/>
      <c r="D222" s="21">
        <v>0</v>
      </c>
      <c r="E222" s="5"/>
      <c r="F222" s="19">
        <v>0</v>
      </c>
      <c r="G222" s="19">
        <f t="shared" si="12"/>
        <v>0</v>
      </c>
      <c r="I222" s="46"/>
    </row>
    <row r="223" spans="1:9" s="20" customFormat="1" ht="33" customHeight="1">
      <c r="A223" s="18" t="s">
        <v>77</v>
      </c>
      <c r="B223" s="4" t="s">
        <v>92</v>
      </c>
      <c r="C223" s="453"/>
      <c r="D223" s="17">
        <v>0</v>
      </c>
      <c r="E223" s="4"/>
      <c r="F223" s="9"/>
      <c r="G223" s="19">
        <f t="shared" si="12"/>
        <v>0</v>
      </c>
      <c r="I223" s="46"/>
    </row>
    <row r="224" spans="1:9" s="20" customFormat="1" ht="47.25">
      <c r="A224" s="22" t="s">
        <v>193</v>
      </c>
      <c r="B224" s="23" t="s">
        <v>37</v>
      </c>
      <c r="C224" s="4"/>
      <c r="D224" s="32">
        <v>0</v>
      </c>
      <c r="E224" s="4"/>
      <c r="F224" s="24">
        <f>F226+F227</f>
        <v>0</v>
      </c>
      <c r="G224" s="24">
        <f t="shared" si="12"/>
        <v>0</v>
      </c>
      <c r="H224" s="47"/>
      <c r="I224" s="46"/>
    </row>
    <row r="225" spans="1:9" s="20" customFormat="1" ht="45" customHeight="1" hidden="1">
      <c r="A225" s="18" t="s">
        <v>101</v>
      </c>
      <c r="B225" s="4" t="s">
        <v>195</v>
      </c>
      <c r="C225" s="4"/>
      <c r="D225" s="5"/>
      <c r="E225" s="4" t="s">
        <v>203</v>
      </c>
      <c r="F225" s="12">
        <v>0</v>
      </c>
      <c r="G225" s="9">
        <v>0</v>
      </c>
      <c r="I225" s="46"/>
    </row>
    <row r="226" spans="1:9" s="20" customFormat="1" ht="51.75" customHeight="1">
      <c r="A226" s="462">
        <v>250380</v>
      </c>
      <c r="B226" s="456" t="s">
        <v>289</v>
      </c>
      <c r="C226" s="4"/>
      <c r="D226" s="5"/>
      <c r="E226" s="4" t="s">
        <v>270</v>
      </c>
      <c r="F226" s="19">
        <v>0</v>
      </c>
      <c r="G226" s="19">
        <f>F226</f>
        <v>0</v>
      </c>
      <c r="I226" s="46"/>
    </row>
    <row r="227" spans="1:9" s="20" customFormat="1" ht="51.75" customHeight="1">
      <c r="A227" s="463"/>
      <c r="B227" s="457"/>
      <c r="C227" s="4"/>
      <c r="D227" s="5"/>
      <c r="E227" s="4" t="s">
        <v>292</v>
      </c>
      <c r="F227" s="19">
        <v>0</v>
      </c>
      <c r="G227" s="19">
        <f>F227</f>
        <v>0</v>
      </c>
      <c r="I227" s="46"/>
    </row>
    <row r="228" spans="1:9" s="20" customFormat="1" ht="47.25">
      <c r="A228" s="22" t="s">
        <v>134</v>
      </c>
      <c r="B228" s="23" t="s">
        <v>40</v>
      </c>
      <c r="C228" s="4"/>
      <c r="D228" s="24">
        <f>D232+D235+D236+D237+D238+D241+D242</f>
        <v>0</v>
      </c>
      <c r="E228" s="4"/>
      <c r="F228" s="24">
        <f>F231+F234</f>
        <v>0</v>
      </c>
      <c r="G228" s="24">
        <f>D228+F228</f>
        <v>0</v>
      </c>
      <c r="H228" s="47"/>
      <c r="I228" s="46"/>
    </row>
    <row r="229" spans="1:9" s="20" customFormat="1" ht="49.5" customHeight="1" hidden="1">
      <c r="A229" s="18" t="s">
        <v>165</v>
      </c>
      <c r="B229" s="4" t="s">
        <v>166</v>
      </c>
      <c r="C229" s="4" t="s">
        <v>171</v>
      </c>
      <c r="D229" s="17"/>
      <c r="E229" s="4" t="s">
        <v>171</v>
      </c>
      <c r="F229" s="19"/>
      <c r="G229" s="9">
        <v>0</v>
      </c>
      <c r="I229" s="46"/>
    </row>
    <row r="230" spans="1:9" s="20" customFormat="1" ht="72" customHeight="1" hidden="1">
      <c r="A230" s="454" t="s">
        <v>165</v>
      </c>
      <c r="B230" s="453" t="s">
        <v>166</v>
      </c>
      <c r="C230" s="4" t="s">
        <v>282</v>
      </c>
      <c r="D230" s="17">
        <v>0</v>
      </c>
      <c r="E230" s="4"/>
      <c r="F230" s="19"/>
      <c r="G230" s="19">
        <v>0</v>
      </c>
      <c r="I230" s="46"/>
    </row>
    <row r="231" spans="1:9" s="20" customFormat="1" ht="63" customHeight="1">
      <c r="A231" s="454"/>
      <c r="B231" s="453"/>
      <c r="C231" s="4"/>
      <c r="D231" s="17"/>
      <c r="E231" s="4" t="s">
        <v>267</v>
      </c>
      <c r="F231" s="19">
        <v>0</v>
      </c>
      <c r="G231" s="19">
        <f>F231</f>
        <v>0</v>
      </c>
      <c r="I231" s="46"/>
    </row>
    <row r="232" spans="1:9" s="20" customFormat="1" ht="47.25" customHeight="1">
      <c r="A232" s="18" t="s">
        <v>94</v>
      </c>
      <c r="B232" s="4" t="s">
        <v>95</v>
      </c>
      <c r="C232" s="4" t="s">
        <v>270</v>
      </c>
      <c r="D232" s="17">
        <v>0</v>
      </c>
      <c r="E232" s="4"/>
      <c r="F232" s="19"/>
      <c r="G232" s="19">
        <f>D232</f>
        <v>0</v>
      </c>
      <c r="I232" s="46"/>
    </row>
    <row r="233" spans="1:9" s="20" customFormat="1" ht="42.75" customHeight="1" hidden="1">
      <c r="A233" s="18" t="s">
        <v>84</v>
      </c>
      <c r="B233" s="4" t="s">
        <v>85</v>
      </c>
      <c r="C233" s="4"/>
      <c r="D233" s="17"/>
      <c r="E233" s="4" t="s">
        <v>199</v>
      </c>
      <c r="F233" s="19">
        <v>0</v>
      </c>
      <c r="G233" s="9">
        <v>0</v>
      </c>
      <c r="I233" s="46"/>
    </row>
    <row r="234" spans="1:9" s="20" customFormat="1" ht="95.25" customHeight="1">
      <c r="A234" s="18" t="s">
        <v>71</v>
      </c>
      <c r="B234" s="4" t="s">
        <v>221</v>
      </c>
      <c r="C234" s="4"/>
      <c r="D234" s="17"/>
      <c r="E234" s="4" t="s">
        <v>280</v>
      </c>
      <c r="F234" s="19">
        <v>0</v>
      </c>
      <c r="G234" s="19">
        <f>F234</f>
        <v>0</v>
      </c>
      <c r="I234" s="46"/>
    </row>
    <row r="235" spans="1:9" s="20" customFormat="1" ht="47.25">
      <c r="A235" s="454" t="s">
        <v>77</v>
      </c>
      <c r="B235" s="453" t="s">
        <v>92</v>
      </c>
      <c r="C235" s="4" t="s">
        <v>253</v>
      </c>
      <c r="D235" s="17">
        <v>0</v>
      </c>
      <c r="E235" s="4"/>
      <c r="F235" s="9"/>
      <c r="G235" s="19">
        <f>D235</f>
        <v>0</v>
      </c>
      <c r="I235" s="46"/>
    </row>
    <row r="236" spans="1:9" s="20" customFormat="1" ht="47.25">
      <c r="A236" s="454"/>
      <c r="B236" s="453"/>
      <c r="C236" s="4" t="s">
        <v>270</v>
      </c>
      <c r="D236" s="17">
        <v>0</v>
      </c>
      <c r="E236" s="4"/>
      <c r="F236" s="9"/>
      <c r="G236" s="19">
        <f aca="true" t="shared" si="13" ref="G236:G242">D236</f>
        <v>0</v>
      </c>
      <c r="I236" s="46"/>
    </row>
    <row r="237" spans="1:9" s="20" customFormat="1" ht="63">
      <c r="A237" s="454"/>
      <c r="B237" s="453"/>
      <c r="C237" s="4" t="s">
        <v>257</v>
      </c>
      <c r="D237" s="17">
        <v>0</v>
      </c>
      <c r="E237" s="4"/>
      <c r="F237" s="9"/>
      <c r="G237" s="19">
        <f t="shared" si="13"/>
        <v>0</v>
      </c>
      <c r="I237" s="46"/>
    </row>
    <row r="238" spans="1:9" s="20" customFormat="1" ht="47.25">
      <c r="A238" s="454"/>
      <c r="B238" s="453"/>
      <c r="C238" s="4" t="s">
        <v>262</v>
      </c>
      <c r="D238" s="17">
        <v>0</v>
      </c>
      <c r="E238" s="4"/>
      <c r="F238" s="9"/>
      <c r="G238" s="19">
        <f t="shared" si="13"/>
        <v>0</v>
      </c>
      <c r="I238" s="46"/>
    </row>
    <row r="239" spans="1:9" s="20" customFormat="1" ht="45.75" customHeight="1" hidden="1">
      <c r="A239" s="454"/>
      <c r="B239" s="453"/>
      <c r="C239" s="4"/>
      <c r="D239" s="5"/>
      <c r="E239" s="4"/>
      <c r="F239" s="9"/>
      <c r="G239" s="19">
        <f t="shared" si="13"/>
        <v>0</v>
      </c>
      <c r="I239" s="46"/>
    </row>
    <row r="240" spans="1:9" s="20" customFormat="1" ht="56.25" customHeight="1" hidden="1">
      <c r="A240" s="454"/>
      <c r="B240" s="453"/>
      <c r="C240" s="4"/>
      <c r="D240" s="5"/>
      <c r="E240" s="4"/>
      <c r="F240" s="9"/>
      <c r="G240" s="19">
        <f t="shared" si="13"/>
        <v>0</v>
      </c>
      <c r="I240" s="46"/>
    </row>
    <row r="241" spans="1:9" s="20" customFormat="1" ht="63">
      <c r="A241" s="454"/>
      <c r="B241" s="453"/>
      <c r="C241" s="4" t="s">
        <v>273</v>
      </c>
      <c r="D241" s="17">
        <v>0</v>
      </c>
      <c r="E241" s="4"/>
      <c r="F241" s="9"/>
      <c r="G241" s="19">
        <f t="shared" si="13"/>
        <v>0</v>
      </c>
      <c r="I241" s="46"/>
    </row>
    <row r="242" spans="1:9" s="20" customFormat="1" ht="63.75" customHeight="1">
      <c r="A242" s="454"/>
      <c r="B242" s="453"/>
      <c r="C242" s="4" t="s">
        <v>282</v>
      </c>
      <c r="D242" s="17">
        <v>0</v>
      </c>
      <c r="E242" s="4"/>
      <c r="F242" s="9"/>
      <c r="G242" s="19">
        <f t="shared" si="13"/>
        <v>0</v>
      </c>
      <c r="I242" s="46"/>
    </row>
    <row r="243" spans="1:9" s="20" customFormat="1" ht="47.25">
      <c r="A243" s="22" t="s">
        <v>135</v>
      </c>
      <c r="B243" s="23" t="s">
        <v>43</v>
      </c>
      <c r="C243" s="4"/>
      <c r="D243" s="24">
        <f>D245+D249+D251+D252+D253+D254</f>
        <v>0</v>
      </c>
      <c r="E243" s="23"/>
      <c r="F243" s="24">
        <f>F244+F245+F246+F248</f>
        <v>0</v>
      </c>
      <c r="G243" s="24">
        <f>D243+F243</f>
        <v>0</v>
      </c>
      <c r="H243" s="47"/>
      <c r="I243" s="46"/>
    </row>
    <row r="244" spans="1:9" s="20" customFormat="1" ht="43.5" customHeight="1">
      <c r="A244" s="18" t="s">
        <v>165</v>
      </c>
      <c r="B244" s="4" t="s">
        <v>166</v>
      </c>
      <c r="C244" s="4"/>
      <c r="D244" s="17"/>
      <c r="E244" s="4" t="s">
        <v>267</v>
      </c>
      <c r="F244" s="19">
        <v>0</v>
      </c>
      <c r="G244" s="19">
        <f>F244</f>
        <v>0</v>
      </c>
      <c r="I244" s="46"/>
    </row>
    <row r="245" spans="1:9" s="20" customFormat="1" ht="50.25" customHeight="1">
      <c r="A245" s="454" t="s">
        <v>94</v>
      </c>
      <c r="B245" s="453" t="s">
        <v>95</v>
      </c>
      <c r="C245" s="4" t="s">
        <v>270</v>
      </c>
      <c r="D245" s="17">
        <v>0</v>
      </c>
      <c r="E245" s="4" t="s">
        <v>270</v>
      </c>
      <c r="F245" s="19">
        <v>0</v>
      </c>
      <c r="G245" s="19">
        <f>D245+F245</f>
        <v>0</v>
      </c>
      <c r="I245" s="46"/>
    </row>
    <row r="246" spans="1:9" s="20" customFormat="1" ht="47.25">
      <c r="A246" s="454"/>
      <c r="B246" s="453"/>
      <c r="C246" s="4"/>
      <c r="D246" s="17"/>
      <c r="E246" s="35" t="s">
        <v>264</v>
      </c>
      <c r="F246" s="39">
        <v>0</v>
      </c>
      <c r="G246" s="39">
        <f>F246</f>
        <v>0</v>
      </c>
      <c r="I246" s="46"/>
    </row>
    <row r="247" spans="1:9" s="20" customFormat="1" ht="21.75" customHeight="1" hidden="1">
      <c r="A247" s="18" t="s">
        <v>84</v>
      </c>
      <c r="B247" s="4" t="s">
        <v>85</v>
      </c>
      <c r="C247" s="4"/>
      <c r="D247" s="17"/>
      <c r="E247" s="4"/>
      <c r="F247" s="19"/>
      <c r="G247" s="19">
        <v>0</v>
      </c>
      <c r="I247" s="46"/>
    </row>
    <row r="248" spans="1:9" s="20" customFormat="1" ht="99.75" customHeight="1">
      <c r="A248" s="18" t="s">
        <v>71</v>
      </c>
      <c r="B248" s="4" t="s">
        <v>221</v>
      </c>
      <c r="C248" s="4"/>
      <c r="D248" s="17"/>
      <c r="E248" s="4" t="s">
        <v>280</v>
      </c>
      <c r="F248" s="19">
        <v>0</v>
      </c>
      <c r="G248" s="19">
        <f>F248</f>
        <v>0</v>
      </c>
      <c r="I248" s="46"/>
    </row>
    <row r="249" spans="1:9" s="20" customFormat="1" ht="47.25">
      <c r="A249" s="454" t="s">
        <v>77</v>
      </c>
      <c r="B249" s="453" t="s">
        <v>92</v>
      </c>
      <c r="C249" s="4" t="s">
        <v>253</v>
      </c>
      <c r="D249" s="17">
        <v>0</v>
      </c>
      <c r="E249" s="4"/>
      <c r="F249" s="9"/>
      <c r="G249" s="19">
        <f aca="true" t="shared" si="14" ref="G249:G254">D249</f>
        <v>0</v>
      </c>
      <c r="I249" s="46"/>
    </row>
    <row r="250" spans="1:9" s="20" customFormat="1" ht="34.5" customHeight="1" hidden="1">
      <c r="A250" s="454"/>
      <c r="B250" s="453"/>
      <c r="C250" s="4"/>
      <c r="D250" s="17"/>
      <c r="E250" s="4"/>
      <c r="F250" s="9"/>
      <c r="G250" s="19">
        <f t="shared" si="14"/>
        <v>0</v>
      </c>
      <c r="I250" s="46"/>
    </row>
    <row r="251" spans="1:9" s="20" customFormat="1" ht="63">
      <c r="A251" s="454"/>
      <c r="B251" s="453"/>
      <c r="C251" s="4" t="s">
        <v>257</v>
      </c>
      <c r="D251" s="17">
        <v>0</v>
      </c>
      <c r="E251" s="4"/>
      <c r="F251" s="9"/>
      <c r="G251" s="19">
        <f t="shared" si="14"/>
        <v>0</v>
      </c>
      <c r="I251" s="46"/>
    </row>
    <row r="252" spans="1:9" s="20" customFormat="1" ht="47.25">
      <c r="A252" s="454"/>
      <c r="B252" s="453"/>
      <c r="C252" s="4" t="s">
        <v>262</v>
      </c>
      <c r="D252" s="17">
        <v>0</v>
      </c>
      <c r="E252" s="4"/>
      <c r="F252" s="9"/>
      <c r="G252" s="19">
        <f t="shared" si="14"/>
        <v>0</v>
      </c>
      <c r="I252" s="46"/>
    </row>
    <row r="253" spans="1:9" s="20" customFormat="1" ht="47.25">
      <c r="A253" s="454"/>
      <c r="B253" s="453"/>
      <c r="C253" s="4" t="s">
        <v>270</v>
      </c>
      <c r="D253" s="17">
        <v>0</v>
      </c>
      <c r="E253" s="4"/>
      <c r="F253" s="9"/>
      <c r="G253" s="19">
        <f t="shared" si="14"/>
        <v>0</v>
      </c>
      <c r="I253" s="46"/>
    </row>
    <row r="254" spans="1:9" s="20" customFormat="1" ht="63">
      <c r="A254" s="454"/>
      <c r="B254" s="453"/>
      <c r="C254" s="4" t="s">
        <v>273</v>
      </c>
      <c r="D254" s="17">
        <v>0</v>
      </c>
      <c r="E254" s="4"/>
      <c r="F254" s="9"/>
      <c r="G254" s="19">
        <f t="shared" si="14"/>
        <v>0</v>
      </c>
      <c r="I254" s="46"/>
    </row>
    <row r="255" spans="1:9" s="20" customFormat="1" ht="47.25">
      <c r="A255" s="22" t="s">
        <v>136</v>
      </c>
      <c r="B255" s="23" t="s">
        <v>44</v>
      </c>
      <c r="C255" s="4"/>
      <c r="D255" s="24">
        <f>D257+D260+D261+D262+D263+D265+D266</f>
        <v>0</v>
      </c>
      <c r="E255" s="23"/>
      <c r="F255" s="24">
        <f>F256+F257+F258+F259</f>
        <v>0</v>
      </c>
      <c r="G255" s="24">
        <f>D255+F255</f>
        <v>0</v>
      </c>
      <c r="H255" s="47"/>
      <c r="I255" s="46"/>
    </row>
    <row r="256" spans="1:9" s="20" customFormat="1" ht="52.5" customHeight="1">
      <c r="A256" s="18" t="s">
        <v>165</v>
      </c>
      <c r="B256" s="4" t="s">
        <v>166</v>
      </c>
      <c r="C256" s="4"/>
      <c r="D256" s="17"/>
      <c r="E256" s="4" t="s">
        <v>267</v>
      </c>
      <c r="F256" s="19">
        <v>0</v>
      </c>
      <c r="G256" s="19">
        <f>F256</f>
        <v>0</v>
      </c>
      <c r="I256" s="46"/>
    </row>
    <row r="257" spans="1:9" s="20" customFormat="1" ht="56.25" customHeight="1">
      <c r="A257" s="18" t="s">
        <v>94</v>
      </c>
      <c r="B257" s="4" t="s">
        <v>95</v>
      </c>
      <c r="C257" s="4" t="s">
        <v>270</v>
      </c>
      <c r="D257" s="17">
        <v>0</v>
      </c>
      <c r="E257" s="4" t="s">
        <v>270</v>
      </c>
      <c r="F257" s="19">
        <v>0</v>
      </c>
      <c r="G257" s="19">
        <f>D257+F257</f>
        <v>0</v>
      </c>
      <c r="I257" s="46"/>
    </row>
    <row r="258" spans="1:9" s="20" customFormat="1" ht="47.25">
      <c r="A258" s="18" t="s">
        <v>84</v>
      </c>
      <c r="B258" s="4" t="s">
        <v>85</v>
      </c>
      <c r="C258" s="4"/>
      <c r="D258" s="17"/>
      <c r="E258" s="4" t="s">
        <v>270</v>
      </c>
      <c r="F258" s="19">
        <v>0</v>
      </c>
      <c r="G258" s="19">
        <f>F258</f>
        <v>0</v>
      </c>
      <c r="I258" s="46"/>
    </row>
    <row r="259" spans="1:9" s="20" customFormat="1" ht="99.75" customHeight="1">
      <c r="A259" s="18" t="s">
        <v>71</v>
      </c>
      <c r="B259" s="4" t="s">
        <v>221</v>
      </c>
      <c r="C259" s="4"/>
      <c r="D259" s="17"/>
      <c r="E259" s="4" t="s">
        <v>280</v>
      </c>
      <c r="F259" s="19">
        <v>0</v>
      </c>
      <c r="G259" s="19">
        <f>F259</f>
        <v>0</v>
      </c>
      <c r="I259" s="46"/>
    </row>
    <row r="260" spans="1:9" s="20" customFormat="1" ht="47.25">
      <c r="A260" s="454" t="s">
        <v>77</v>
      </c>
      <c r="B260" s="453" t="s">
        <v>92</v>
      </c>
      <c r="C260" s="4" t="s">
        <v>253</v>
      </c>
      <c r="D260" s="17">
        <v>0</v>
      </c>
      <c r="E260" s="4"/>
      <c r="F260" s="9"/>
      <c r="G260" s="19">
        <f>D260</f>
        <v>0</v>
      </c>
      <c r="I260" s="46"/>
    </row>
    <row r="261" spans="1:9" s="20" customFormat="1" ht="47.25">
      <c r="A261" s="454"/>
      <c r="B261" s="453"/>
      <c r="C261" s="4" t="s">
        <v>270</v>
      </c>
      <c r="D261" s="17">
        <v>0</v>
      </c>
      <c r="E261" s="4"/>
      <c r="F261" s="9"/>
      <c r="G261" s="19">
        <f aca="true" t="shared" si="15" ref="G261:G266">D261</f>
        <v>0</v>
      </c>
      <c r="I261" s="46"/>
    </row>
    <row r="262" spans="1:9" s="20" customFormat="1" ht="63">
      <c r="A262" s="454"/>
      <c r="B262" s="453"/>
      <c r="C262" s="4" t="s">
        <v>257</v>
      </c>
      <c r="D262" s="17">
        <v>0</v>
      </c>
      <c r="E262" s="4"/>
      <c r="F262" s="9"/>
      <c r="G262" s="19">
        <f t="shared" si="15"/>
        <v>0</v>
      </c>
      <c r="I262" s="46"/>
    </row>
    <row r="263" spans="1:9" s="20" customFormat="1" ht="47.25">
      <c r="A263" s="454"/>
      <c r="B263" s="453"/>
      <c r="C263" s="4" t="s">
        <v>262</v>
      </c>
      <c r="D263" s="17">
        <v>0</v>
      </c>
      <c r="E263" s="4"/>
      <c r="F263" s="9"/>
      <c r="G263" s="19">
        <f t="shared" si="15"/>
        <v>0</v>
      </c>
      <c r="I263" s="46"/>
    </row>
    <row r="264" spans="1:9" s="20" customFormat="1" ht="21.75" customHeight="1" hidden="1">
      <c r="A264" s="454"/>
      <c r="B264" s="453"/>
      <c r="C264" s="4"/>
      <c r="D264" s="5"/>
      <c r="E264" s="4"/>
      <c r="F264" s="9"/>
      <c r="G264" s="19">
        <f t="shared" si="15"/>
        <v>0</v>
      </c>
      <c r="I264" s="46"/>
    </row>
    <row r="265" spans="1:9" s="20" customFormat="1" ht="63">
      <c r="A265" s="454"/>
      <c r="B265" s="453"/>
      <c r="C265" s="4" t="s">
        <v>273</v>
      </c>
      <c r="D265" s="17">
        <v>0</v>
      </c>
      <c r="E265" s="4"/>
      <c r="F265" s="9"/>
      <c r="G265" s="19">
        <f t="shared" si="15"/>
        <v>0</v>
      </c>
      <c r="I265" s="46"/>
    </row>
    <row r="266" spans="1:9" s="20" customFormat="1" ht="66.75" customHeight="1">
      <c r="A266" s="454"/>
      <c r="B266" s="453"/>
      <c r="C266" s="4" t="s">
        <v>282</v>
      </c>
      <c r="D266" s="17">
        <v>0</v>
      </c>
      <c r="E266" s="4"/>
      <c r="F266" s="9"/>
      <c r="G266" s="19">
        <f t="shared" si="15"/>
        <v>0</v>
      </c>
      <c r="I266" s="46"/>
    </row>
    <row r="267" spans="1:9" s="20" customFormat="1" ht="47.25">
      <c r="A267" s="22" t="s">
        <v>137</v>
      </c>
      <c r="B267" s="23" t="s">
        <v>45</v>
      </c>
      <c r="C267" s="4"/>
      <c r="D267" s="24">
        <f>D269+D271+D272+D273+D274+D275+D276</f>
        <v>0</v>
      </c>
      <c r="E267" s="23"/>
      <c r="F267" s="24">
        <f>F268+F269+F270</f>
        <v>0</v>
      </c>
      <c r="G267" s="28">
        <f>D267+F267</f>
        <v>0</v>
      </c>
      <c r="H267" s="48"/>
      <c r="I267" s="46"/>
    </row>
    <row r="268" spans="1:9" s="20" customFormat="1" ht="47.25">
      <c r="A268" s="18" t="s">
        <v>165</v>
      </c>
      <c r="B268" s="4" t="s">
        <v>166</v>
      </c>
      <c r="C268" s="4"/>
      <c r="D268" s="17"/>
      <c r="E268" s="4" t="s">
        <v>267</v>
      </c>
      <c r="F268" s="19">
        <v>0</v>
      </c>
      <c r="G268" s="19">
        <f>F268</f>
        <v>0</v>
      </c>
      <c r="H268" s="33"/>
      <c r="I268" s="46"/>
    </row>
    <row r="269" spans="1:9" s="20" customFormat="1" ht="66" customHeight="1">
      <c r="A269" s="18" t="s">
        <v>94</v>
      </c>
      <c r="B269" s="4" t="s">
        <v>95</v>
      </c>
      <c r="C269" s="4" t="s">
        <v>270</v>
      </c>
      <c r="D269" s="17">
        <v>0</v>
      </c>
      <c r="E269" s="4" t="s">
        <v>270</v>
      </c>
      <c r="F269" s="19">
        <v>0</v>
      </c>
      <c r="G269" s="19">
        <f>D269+F269</f>
        <v>0</v>
      </c>
      <c r="I269" s="46"/>
    </row>
    <row r="270" spans="1:9" s="20" customFormat="1" ht="55.5" customHeight="1">
      <c r="A270" s="18" t="s">
        <v>84</v>
      </c>
      <c r="B270" s="4" t="s">
        <v>85</v>
      </c>
      <c r="C270" s="4"/>
      <c r="D270" s="17"/>
      <c r="E270" s="4" t="s">
        <v>270</v>
      </c>
      <c r="F270" s="19">
        <v>0</v>
      </c>
      <c r="G270" s="19">
        <f>F270</f>
        <v>0</v>
      </c>
      <c r="I270" s="46"/>
    </row>
    <row r="271" spans="1:9" s="20" customFormat="1" ht="47.25">
      <c r="A271" s="454" t="s">
        <v>77</v>
      </c>
      <c r="B271" s="453" t="s">
        <v>92</v>
      </c>
      <c r="C271" s="4" t="s">
        <v>253</v>
      </c>
      <c r="D271" s="17">
        <v>0</v>
      </c>
      <c r="E271" s="4"/>
      <c r="F271" s="9"/>
      <c r="G271" s="19">
        <f aca="true" t="shared" si="16" ref="G271:G276">D271</f>
        <v>0</v>
      </c>
      <c r="I271" s="46"/>
    </row>
    <row r="272" spans="1:9" s="20" customFormat="1" ht="47.25">
      <c r="A272" s="454"/>
      <c r="B272" s="453"/>
      <c r="C272" s="4" t="s">
        <v>270</v>
      </c>
      <c r="D272" s="17">
        <v>0</v>
      </c>
      <c r="E272" s="4"/>
      <c r="F272" s="9"/>
      <c r="G272" s="19">
        <f t="shared" si="16"/>
        <v>0</v>
      </c>
      <c r="I272" s="46"/>
    </row>
    <row r="273" spans="1:9" s="20" customFormat="1" ht="63">
      <c r="A273" s="454"/>
      <c r="B273" s="453"/>
      <c r="C273" s="4" t="s">
        <v>257</v>
      </c>
      <c r="D273" s="17">
        <v>0</v>
      </c>
      <c r="E273" s="4"/>
      <c r="F273" s="9"/>
      <c r="G273" s="19">
        <f t="shared" si="16"/>
        <v>0</v>
      </c>
      <c r="I273" s="46"/>
    </row>
    <row r="274" spans="1:9" s="20" customFormat="1" ht="47.25">
      <c r="A274" s="454"/>
      <c r="B274" s="453"/>
      <c r="C274" s="4" t="s">
        <v>262</v>
      </c>
      <c r="D274" s="17">
        <v>0</v>
      </c>
      <c r="E274" s="4"/>
      <c r="F274" s="9"/>
      <c r="G274" s="19">
        <f t="shared" si="16"/>
        <v>0</v>
      </c>
      <c r="I274" s="46"/>
    </row>
    <row r="275" spans="1:9" s="20" customFormat="1" ht="63">
      <c r="A275" s="454"/>
      <c r="B275" s="453"/>
      <c r="C275" s="4" t="s">
        <v>273</v>
      </c>
      <c r="D275" s="17">
        <v>0</v>
      </c>
      <c r="E275" s="4"/>
      <c r="F275" s="9"/>
      <c r="G275" s="19">
        <f t="shared" si="16"/>
        <v>0</v>
      </c>
      <c r="I275" s="46"/>
    </row>
    <row r="276" spans="1:9" s="20" customFormat="1" ht="63.75" customHeight="1">
      <c r="A276" s="454"/>
      <c r="B276" s="453"/>
      <c r="C276" s="4" t="s">
        <v>282</v>
      </c>
      <c r="D276" s="17">
        <v>0</v>
      </c>
      <c r="E276" s="4"/>
      <c r="F276" s="9"/>
      <c r="G276" s="19">
        <f t="shared" si="16"/>
        <v>0</v>
      </c>
      <c r="I276" s="46"/>
    </row>
    <row r="277" spans="1:9" s="33" customFormat="1" ht="47.25">
      <c r="A277" s="22" t="s">
        <v>138</v>
      </c>
      <c r="B277" s="23" t="s">
        <v>46</v>
      </c>
      <c r="C277" s="23"/>
      <c r="D277" s="24">
        <f>D279+D281+D283+D285+D287+D288+D289+D290+D291+D292</f>
        <v>0</v>
      </c>
      <c r="E277" s="23"/>
      <c r="F277" s="24">
        <f>F280+F284</f>
        <v>0</v>
      </c>
      <c r="G277" s="24">
        <f>D277+F277</f>
        <v>0</v>
      </c>
      <c r="H277" s="48"/>
      <c r="I277" s="46"/>
    </row>
    <row r="278" spans="1:9" s="33" customFormat="1" ht="55.5" customHeight="1" hidden="1">
      <c r="A278" s="18" t="s">
        <v>165</v>
      </c>
      <c r="B278" s="4" t="s">
        <v>166</v>
      </c>
      <c r="C278" s="4" t="s">
        <v>172</v>
      </c>
      <c r="D278" s="17"/>
      <c r="E278" s="4" t="s">
        <v>172</v>
      </c>
      <c r="F278" s="19"/>
      <c r="G278" s="19">
        <v>0</v>
      </c>
      <c r="I278" s="46"/>
    </row>
    <row r="279" spans="1:9" s="33" customFormat="1" ht="69" customHeight="1">
      <c r="A279" s="458" t="s">
        <v>165</v>
      </c>
      <c r="B279" s="456" t="s">
        <v>166</v>
      </c>
      <c r="C279" s="4" t="s">
        <v>282</v>
      </c>
      <c r="D279" s="17">
        <v>0</v>
      </c>
      <c r="E279" s="4"/>
      <c r="F279" s="19"/>
      <c r="G279" s="19">
        <f>D279</f>
        <v>0</v>
      </c>
      <c r="I279" s="46"/>
    </row>
    <row r="280" spans="1:9" s="33" customFormat="1" ht="54.75" customHeight="1">
      <c r="A280" s="459"/>
      <c r="B280" s="457"/>
      <c r="C280" s="4"/>
      <c r="D280" s="17"/>
      <c r="E280" s="4" t="s">
        <v>267</v>
      </c>
      <c r="F280" s="19">
        <v>0</v>
      </c>
      <c r="G280" s="19">
        <f>F280</f>
        <v>0</v>
      </c>
      <c r="I280" s="46"/>
    </row>
    <row r="281" spans="1:9" s="20" customFormat="1" ht="49.5" customHeight="1">
      <c r="A281" s="454" t="s">
        <v>94</v>
      </c>
      <c r="B281" s="453" t="s">
        <v>95</v>
      </c>
      <c r="C281" s="4" t="s">
        <v>270</v>
      </c>
      <c r="D281" s="17">
        <v>0</v>
      </c>
      <c r="E281" s="4"/>
      <c r="F281" s="19"/>
      <c r="G281" s="19">
        <f>D281</f>
        <v>0</v>
      </c>
      <c r="I281" s="46"/>
    </row>
    <row r="282" spans="1:9" s="20" customFormat="1" ht="47.25" hidden="1">
      <c r="A282" s="454"/>
      <c r="B282" s="453"/>
      <c r="C282" s="4"/>
      <c r="D282" s="17"/>
      <c r="E282" s="35" t="s">
        <v>264</v>
      </c>
      <c r="F282" s="39">
        <v>0</v>
      </c>
      <c r="G282" s="39">
        <v>0</v>
      </c>
      <c r="I282" s="46"/>
    </row>
    <row r="283" spans="1:9" s="20" customFormat="1" ht="47.25">
      <c r="A283" s="18" t="s">
        <v>237</v>
      </c>
      <c r="B283" s="4" t="s">
        <v>92</v>
      </c>
      <c r="C283" s="4" t="s">
        <v>259</v>
      </c>
      <c r="D283" s="17">
        <v>0</v>
      </c>
      <c r="E283" s="4"/>
      <c r="F283" s="19"/>
      <c r="G283" s="19">
        <f>D283</f>
        <v>0</v>
      </c>
      <c r="I283" s="46"/>
    </row>
    <row r="284" spans="1:9" s="20" customFormat="1" ht="93.75" customHeight="1">
      <c r="A284" s="18" t="s">
        <v>71</v>
      </c>
      <c r="B284" s="4" t="s">
        <v>221</v>
      </c>
      <c r="C284" s="4"/>
      <c r="D284" s="17"/>
      <c r="E284" s="4" t="s">
        <v>280</v>
      </c>
      <c r="F284" s="19">
        <v>0</v>
      </c>
      <c r="G284" s="19">
        <f>F284</f>
        <v>0</v>
      </c>
      <c r="I284" s="46"/>
    </row>
    <row r="285" spans="1:9" s="20" customFormat="1" ht="47.25">
      <c r="A285" s="454" t="s">
        <v>77</v>
      </c>
      <c r="B285" s="453" t="s">
        <v>92</v>
      </c>
      <c r="C285" s="4" t="s">
        <v>253</v>
      </c>
      <c r="D285" s="17">
        <v>0</v>
      </c>
      <c r="E285" s="4"/>
      <c r="F285" s="9"/>
      <c r="G285" s="19">
        <f>D285</f>
        <v>0</v>
      </c>
      <c r="I285" s="46"/>
    </row>
    <row r="286" spans="1:9" s="20" customFormat="1" ht="21" customHeight="1" hidden="1">
      <c r="A286" s="454"/>
      <c r="B286" s="453"/>
      <c r="C286" s="4"/>
      <c r="D286" s="17"/>
      <c r="E286" s="4"/>
      <c r="F286" s="9"/>
      <c r="G286" s="19">
        <f aca="true" t="shared" si="17" ref="G286:G292">D286</f>
        <v>0</v>
      </c>
      <c r="I286" s="46"/>
    </row>
    <row r="287" spans="1:9" s="20" customFormat="1" ht="63">
      <c r="A287" s="454"/>
      <c r="B287" s="453"/>
      <c r="C287" s="4" t="s">
        <v>258</v>
      </c>
      <c r="D287" s="17">
        <v>0</v>
      </c>
      <c r="E287" s="4"/>
      <c r="F287" s="9"/>
      <c r="G287" s="19">
        <f t="shared" si="17"/>
        <v>0</v>
      </c>
      <c r="I287" s="46"/>
    </row>
    <row r="288" spans="1:9" s="20" customFormat="1" ht="63">
      <c r="A288" s="454"/>
      <c r="B288" s="453"/>
      <c r="C288" s="4" t="s">
        <v>257</v>
      </c>
      <c r="D288" s="17">
        <v>0</v>
      </c>
      <c r="E288" s="4"/>
      <c r="F288" s="9"/>
      <c r="G288" s="19">
        <f t="shared" si="17"/>
        <v>0</v>
      </c>
      <c r="I288" s="46"/>
    </row>
    <row r="289" spans="1:9" s="20" customFormat="1" ht="47.25">
      <c r="A289" s="454"/>
      <c r="B289" s="453"/>
      <c r="C289" s="4" t="s">
        <v>262</v>
      </c>
      <c r="D289" s="17">
        <v>0</v>
      </c>
      <c r="E289" s="4"/>
      <c r="F289" s="9"/>
      <c r="G289" s="19">
        <f t="shared" si="17"/>
        <v>0</v>
      </c>
      <c r="I289" s="46"/>
    </row>
    <row r="290" spans="1:9" s="20" customFormat="1" ht="63">
      <c r="A290" s="454"/>
      <c r="B290" s="453"/>
      <c r="C290" s="4" t="s">
        <v>273</v>
      </c>
      <c r="D290" s="17">
        <v>0</v>
      </c>
      <c r="E290" s="4"/>
      <c r="F290" s="9"/>
      <c r="G290" s="19">
        <f t="shared" si="17"/>
        <v>0</v>
      </c>
      <c r="I290" s="46"/>
    </row>
    <row r="291" spans="1:9" s="20" customFormat="1" ht="47.25">
      <c r="A291" s="454"/>
      <c r="B291" s="453"/>
      <c r="C291" s="4" t="s">
        <v>270</v>
      </c>
      <c r="D291" s="17">
        <v>0</v>
      </c>
      <c r="E291" s="4"/>
      <c r="F291" s="9"/>
      <c r="G291" s="19">
        <f t="shared" si="17"/>
        <v>0</v>
      </c>
      <c r="I291" s="46"/>
    </row>
    <row r="292" spans="1:9" s="20" customFormat="1" ht="65.25" customHeight="1">
      <c r="A292" s="454"/>
      <c r="B292" s="453"/>
      <c r="C292" s="4" t="s">
        <v>282</v>
      </c>
      <c r="D292" s="17">
        <v>0</v>
      </c>
      <c r="E292" s="4"/>
      <c r="F292" s="9"/>
      <c r="G292" s="19">
        <f t="shared" si="17"/>
        <v>0</v>
      </c>
      <c r="I292" s="46"/>
    </row>
    <row r="293" spans="1:9" s="33" customFormat="1" ht="47.25">
      <c r="A293" s="22" t="s">
        <v>139</v>
      </c>
      <c r="B293" s="23" t="s">
        <v>47</v>
      </c>
      <c r="C293" s="23"/>
      <c r="D293" s="24">
        <f>D296+D298+D300+D301+D302+D303+D304</f>
        <v>0</v>
      </c>
      <c r="E293" s="23"/>
      <c r="F293" s="24">
        <f>F294+F295+F296+F297</f>
        <v>0</v>
      </c>
      <c r="G293" s="28">
        <f>D293+F293</f>
        <v>0</v>
      </c>
      <c r="H293" s="48"/>
      <c r="I293" s="46"/>
    </row>
    <row r="294" spans="1:9" s="33" customFormat="1" ht="49.5" customHeight="1">
      <c r="A294" s="18" t="s">
        <v>165</v>
      </c>
      <c r="B294" s="4" t="s">
        <v>166</v>
      </c>
      <c r="C294" s="4"/>
      <c r="D294" s="17"/>
      <c r="E294" s="4" t="s">
        <v>267</v>
      </c>
      <c r="F294" s="19">
        <v>0</v>
      </c>
      <c r="G294" s="19">
        <f>F294</f>
        <v>0</v>
      </c>
      <c r="I294" s="46"/>
    </row>
    <row r="295" spans="1:9" s="33" customFormat="1" ht="49.5" customHeight="1">
      <c r="A295" s="18" t="s">
        <v>84</v>
      </c>
      <c r="B295" s="4" t="s">
        <v>85</v>
      </c>
      <c r="C295" s="4"/>
      <c r="D295" s="17"/>
      <c r="E295" s="4" t="s">
        <v>270</v>
      </c>
      <c r="F295" s="19">
        <v>0</v>
      </c>
      <c r="G295" s="19">
        <f>F295</f>
        <v>0</v>
      </c>
      <c r="I295" s="46"/>
    </row>
    <row r="296" spans="1:9" s="20" customFormat="1" ht="48" customHeight="1">
      <c r="A296" s="18" t="s">
        <v>94</v>
      </c>
      <c r="B296" s="4" t="s">
        <v>95</v>
      </c>
      <c r="C296" s="4" t="s">
        <v>270</v>
      </c>
      <c r="D296" s="17">
        <v>0</v>
      </c>
      <c r="E296" s="4" t="s">
        <v>270</v>
      </c>
      <c r="F296" s="19">
        <v>0</v>
      </c>
      <c r="G296" s="19">
        <f>D296+F296</f>
        <v>0</v>
      </c>
      <c r="I296" s="46"/>
    </row>
    <row r="297" spans="1:9" s="20" customFormat="1" ht="100.5" customHeight="1">
      <c r="A297" s="18" t="s">
        <v>71</v>
      </c>
      <c r="B297" s="4" t="s">
        <v>221</v>
      </c>
      <c r="C297" s="4"/>
      <c r="D297" s="17"/>
      <c r="E297" s="4" t="s">
        <v>280</v>
      </c>
      <c r="F297" s="19">
        <v>0</v>
      </c>
      <c r="G297" s="19">
        <f>F297</f>
        <v>0</v>
      </c>
      <c r="I297" s="46"/>
    </row>
    <row r="298" spans="1:9" s="20" customFormat="1" ht="47.25">
      <c r="A298" s="454" t="s">
        <v>77</v>
      </c>
      <c r="B298" s="453" t="s">
        <v>92</v>
      </c>
      <c r="C298" s="4" t="s">
        <v>253</v>
      </c>
      <c r="D298" s="17">
        <v>0</v>
      </c>
      <c r="E298" s="4"/>
      <c r="F298" s="9"/>
      <c r="G298" s="19">
        <f aca="true" t="shared" si="18" ref="G298:G304">D298</f>
        <v>0</v>
      </c>
      <c r="I298" s="46"/>
    </row>
    <row r="299" spans="1:9" s="20" customFormat="1" ht="30.75" customHeight="1" hidden="1">
      <c r="A299" s="454"/>
      <c r="B299" s="453"/>
      <c r="C299" s="4"/>
      <c r="D299" s="17"/>
      <c r="E299" s="4"/>
      <c r="F299" s="9"/>
      <c r="G299" s="19">
        <f t="shared" si="18"/>
        <v>0</v>
      </c>
      <c r="I299" s="46"/>
    </row>
    <row r="300" spans="1:9" s="20" customFormat="1" ht="63">
      <c r="A300" s="454"/>
      <c r="B300" s="453"/>
      <c r="C300" s="4" t="s">
        <v>257</v>
      </c>
      <c r="D300" s="17">
        <v>0</v>
      </c>
      <c r="E300" s="4"/>
      <c r="F300" s="9"/>
      <c r="G300" s="19">
        <f t="shared" si="18"/>
        <v>0</v>
      </c>
      <c r="I300" s="46"/>
    </row>
    <row r="301" spans="1:9" s="20" customFormat="1" ht="47.25">
      <c r="A301" s="454"/>
      <c r="B301" s="453"/>
      <c r="C301" s="4" t="s">
        <v>262</v>
      </c>
      <c r="D301" s="17">
        <v>0</v>
      </c>
      <c r="E301" s="4"/>
      <c r="F301" s="9"/>
      <c r="G301" s="19">
        <f t="shared" si="18"/>
        <v>0</v>
      </c>
      <c r="I301" s="46"/>
    </row>
    <row r="302" spans="1:9" s="20" customFormat="1" ht="63">
      <c r="A302" s="454"/>
      <c r="B302" s="453"/>
      <c r="C302" s="4" t="s">
        <v>273</v>
      </c>
      <c r="D302" s="17">
        <v>0</v>
      </c>
      <c r="E302" s="4"/>
      <c r="F302" s="9"/>
      <c r="G302" s="19">
        <f t="shared" si="18"/>
        <v>0</v>
      </c>
      <c r="I302" s="46"/>
    </row>
    <row r="303" spans="1:9" s="20" customFormat="1" ht="47.25">
      <c r="A303" s="454"/>
      <c r="B303" s="453"/>
      <c r="C303" s="4" t="s">
        <v>270</v>
      </c>
      <c r="D303" s="17">
        <v>0</v>
      </c>
      <c r="E303" s="4"/>
      <c r="F303" s="9"/>
      <c r="G303" s="19">
        <f t="shared" si="18"/>
        <v>0</v>
      </c>
      <c r="I303" s="46"/>
    </row>
    <row r="304" spans="1:9" s="20" customFormat="1" ht="69" customHeight="1">
      <c r="A304" s="454"/>
      <c r="B304" s="453"/>
      <c r="C304" s="4" t="s">
        <v>282</v>
      </c>
      <c r="D304" s="17">
        <v>0</v>
      </c>
      <c r="E304" s="4"/>
      <c r="F304" s="9"/>
      <c r="G304" s="19">
        <f t="shared" si="18"/>
        <v>0</v>
      </c>
      <c r="I304" s="46"/>
    </row>
    <row r="305" spans="1:9" s="20" customFormat="1" ht="46.5" customHeight="1">
      <c r="A305" s="22" t="s">
        <v>140</v>
      </c>
      <c r="B305" s="23" t="s">
        <v>48</v>
      </c>
      <c r="C305" s="4"/>
      <c r="D305" s="24">
        <f>D306+D308+D309+D311+D312+D314+D315+D316</f>
        <v>0</v>
      </c>
      <c r="E305" s="4"/>
      <c r="F305" s="24">
        <f>F307</f>
        <v>0</v>
      </c>
      <c r="G305" s="24">
        <f>D305+F305</f>
        <v>0</v>
      </c>
      <c r="H305" s="47"/>
      <c r="I305" s="46"/>
    </row>
    <row r="306" spans="1:9" s="20" customFormat="1" ht="67.5" customHeight="1">
      <c r="A306" s="454" t="s">
        <v>165</v>
      </c>
      <c r="B306" s="453" t="s">
        <v>166</v>
      </c>
      <c r="C306" s="4" t="s">
        <v>282</v>
      </c>
      <c r="D306" s="17">
        <v>0</v>
      </c>
      <c r="E306" s="4"/>
      <c r="F306" s="24"/>
      <c r="G306" s="19">
        <f>D306</f>
        <v>0</v>
      </c>
      <c r="H306" s="47"/>
      <c r="I306" s="46"/>
    </row>
    <row r="307" spans="1:9" s="20" customFormat="1" ht="64.5" customHeight="1">
      <c r="A307" s="454"/>
      <c r="B307" s="453"/>
      <c r="C307" s="4"/>
      <c r="D307" s="17"/>
      <c r="E307" s="4" t="s">
        <v>267</v>
      </c>
      <c r="F307" s="19">
        <v>0</v>
      </c>
      <c r="G307" s="19">
        <f>F307</f>
        <v>0</v>
      </c>
      <c r="I307" s="46"/>
    </row>
    <row r="308" spans="1:9" s="20" customFormat="1" ht="45.75" customHeight="1">
      <c r="A308" s="18" t="s">
        <v>94</v>
      </c>
      <c r="B308" s="4" t="s">
        <v>95</v>
      </c>
      <c r="C308" s="4" t="s">
        <v>270</v>
      </c>
      <c r="D308" s="17">
        <v>0</v>
      </c>
      <c r="E308" s="4"/>
      <c r="F308" s="19"/>
      <c r="G308" s="19">
        <f>D308</f>
        <v>0</v>
      </c>
      <c r="I308" s="46"/>
    </row>
    <row r="309" spans="1:9" s="20" customFormat="1" ht="47.25">
      <c r="A309" s="454" t="s">
        <v>77</v>
      </c>
      <c r="B309" s="453" t="s">
        <v>92</v>
      </c>
      <c r="C309" s="4" t="s">
        <v>253</v>
      </c>
      <c r="D309" s="17">
        <v>0</v>
      </c>
      <c r="E309" s="4"/>
      <c r="F309" s="9"/>
      <c r="G309" s="19">
        <f aca="true" t="shared" si="19" ref="G309:G316">D309</f>
        <v>0</v>
      </c>
      <c r="I309" s="46"/>
    </row>
    <row r="310" spans="1:9" s="20" customFormat="1" ht="15.75" customHeight="1" hidden="1">
      <c r="A310" s="454"/>
      <c r="B310" s="453"/>
      <c r="C310" s="4"/>
      <c r="D310" s="17"/>
      <c r="E310" s="4"/>
      <c r="F310" s="19">
        <v>0</v>
      </c>
      <c r="G310" s="19">
        <f t="shared" si="19"/>
        <v>0</v>
      </c>
      <c r="I310" s="46"/>
    </row>
    <row r="311" spans="1:9" s="20" customFormat="1" ht="63">
      <c r="A311" s="454"/>
      <c r="B311" s="453"/>
      <c r="C311" s="4" t="s">
        <v>257</v>
      </c>
      <c r="D311" s="17">
        <v>0</v>
      </c>
      <c r="E311" s="4"/>
      <c r="F311" s="9"/>
      <c r="G311" s="19">
        <f t="shared" si="19"/>
        <v>0</v>
      </c>
      <c r="I311" s="46"/>
    </row>
    <row r="312" spans="1:9" s="20" customFormat="1" ht="47.25">
      <c r="A312" s="454"/>
      <c r="B312" s="453"/>
      <c r="C312" s="4" t="s">
        <v>262</v>
      </c>
      <c r="D312" s="17">
        <v>0</v>
      </c>
      <c r="E312" s="4"/>
      <c r="F312" s="9"/>
      <c r="G312" s="19">
        <f t="shared" si="19"/>
        <v>0</v>
      </c>
      <c r="I312" s="46"/>
    </row>
    <row r="313" spans="1:9" s="20" customFormat="1" ht="24.75" customHeight="1" hidden="1">
      <c r="A313" s="454"/>
      <c r="B313" s="453"/>
      <c r="C313" s="4"/>
      <c r="D313" s="5"/>
      <c r="E313" s="4"/>
      <c r="F313" s="9"/>
      <c r="G313" s="19">
        <f t="shared" si="19"/>
        <v>0</v>
      </c>
      <c r="I313" s="46"/>
    </row>
    <row r="314" spans="1:9" s="20" customFormat="1" ht="63">
      <c r="A314" s="454"/>
      <c r="B314" s="453"/>
      <c r="C314" s="4" t="s">
        <v>273</v>
      </c>
      <c r="D314" s="17">
        <v>0</v>
      </c>
      <c r="E314" s="4"/>
      <c r="F314" s="9"/>
      <c r="G314" s="19">
        <f t="shared" si="19"/>
        <v>0</v>
      </c>
      <c r="I314" s="46"/>
    </row>
    <row r="315" spans="1:9" s="20" customFormat="1" ht="47.25">
      <c r="A315" s="454"/>
      <c r="B315" s="453"/>
      <c r="C315" s="4" t="s">
        <v>270</v>
      </c>
      <c r="D315" s="17">
        <v>0</v>
      </c>
      <c r="E315" s="4"/>
      <c r="F315" s="9"/>
      <c r="G315" s="19">
        <f t="shared" si="19"/>
        <v>0</v>
      </c>
      <c r="I315" s="46"/>
    </row>
    <row r="316" spans="1:9" s="20" customFormat="1" ht="68.25" customHeight="1">
      <c r="A316" s="454"/>
      <c r="B316" s="453"/>
      <c r="C316" s="4" t="s">
        <v>282</v>
      </c>
      <c r="D316" s="17">
        <v>0</v>
      </c>
      <c r="E316" s="4"/>
      <c r="F316" s="9"/>
      <c r="G316" s="19">
        <f t="shared" si="19"/>
        <v>0</v>
      </c>
      <c r="I316" s="46"/>
    </row>
    <row r="317" spans="1:11" s="34" customFormat="1" ht="15.75">
      <c r="A317" s="23"/>
      <c r="B317" s="23" t="s">
        <v>66</v>
      </c>
      <c r="C317" s="23"/>
      <c r="D317" s="28">
        <f>D11+D31+D70+D93+D121+D142+D147+D149+D177+D180+D187+D190+D195+D207+D212+D218+D224+D228+D243+D255+D267+D277+D293+D305</f>
        <v>0</v>
      </c>
      <c r="E317" s="27"/>
      <c r="F317" s="28">
        <f>F11+F31+F70+F93+F121+F142+F147+F149+F177+F180+F187+F190+F195+F207+F212+F218+F224+F228+F243+F255+F267+F277+F293+F305</f>
        <v>0</v>
      </c>
      <c r="G317" s="28">
        <f>D317+F317</f>
        <v>0</v>
      </c>
      <c r="I317" s="46"/>
      <c r="K317" s="45"/>
    </row>
    <row r="318" spans="1:8" ht="15" customHeight="1">
      <c r="A318" s="65"/>
      <c r="B318" s="65"/>
      <c r="C318" s="65"/>
      <c r="D318" s="65"/>
      <c r="E318" s="65"/>
      <c r="F318" s="65"/>
      <c r="G318" s="65"/>
      <c r="H318" s="63"/>
    </row>
    <row r="319" spans="1:6" s="11" customFormat="1" ht="35.25" customHeight="1">
      <c r="A319" s="466" t="s">
        <v>200</v>
      </c>
      <c r="B319" s="466"/>
      <c r="C319" s="66"/>
      <c r="D319" s="67"/>
      <c r="E319" s="54"/>
      <c r="F319" s="57" t="s">
        <v>201</v>
      </c>
    </row>
    <row r="320" spans="4:7" ht="18" customHeight="1">
      <c r="D320" s="10"/>
      <c r="F320" s="34"/>
      <c r="G320" s="45"/>
    </row>
    <row r="321" spans="4:7" ht="18" customHeight="1">
      <c r="D321" s="10"/>
      <c r="F321" s="34"/>
      <c r="G321" s="45"/>
    </row>
    <row r="322" ht="18" customHeight="1"/>
    <row r="323" spans="4:9" ht="18" customHeight="1">
      <c r="D323" s="10"/>
      <c r="F323" s="41"/>
      <c r="G323" s="42"/>
      <c r="H323" s="41"/>
      <c r="I323" s="10"/>
    </row>
    <row r="324" spans="4:6" ht="18" customHeight="1">
      <c r="D324" s="10"/>
      <c r="F324" s="10"/>
    </row>
    <row r="325" spans="4:6" ht="18" customHeight="1">
      <c r="D325" s="10"/>
      <c r="F325" s="10"/>
    </row>
    <row r="326" spans="4:6" ht="15.75">
      <c r="D326" s="10"/>
      <c r="F326" s="10"/>
    </row>
    <row r="327" spans="3:6" ht="15.75">
      <c r="C327" s="3"/>
      <c r="F327" s="10"/>
    </row>
    <row r="328" ht="15.75">
      <c r="F328" s="10"/>
    </row>
    <row r="329" ht="15.75">
      <c r="F329" s="10"/>
    </row>
    <row r="330" ht="15.75">
      <c r="F330" s="10"/>
    </row>
    <row r="331" ht="15.75">
      <c r="F331" s="10"/>
    </row>
    <row r="332" ht="15.75">
      <c r="F332" s="10"/>
    </row>
    <row r="333" ht="15.75">
      <c r="F333" s="10"/>
    </row>
    <row r="334" ht="15.75">
      <c r="F334" s="10"/>
    </row>
    <row r="335" ht="15.75">
      <c r="F335" s="10"/>
    </row>
    <row r="336" ht="15.75">
      <c r="F336" s="10"/>
    </row>
    <row r="337" ht="15.75">
      <c r="F337" s="10"/>
    </row>
    <row r="338" ht="15.75">
      <c r="F338" s="10"/>
    </row>
    <row r="339" ht="15.75">
      <c r="F339" s="10"/>
    </row>
    <row r="340" ht="15.75">
      <c r="F340" s="10"/>
    </row>
    <row r="341" spans="5:8" ht="15.75">
      <c r="E341" s="7"/>
      <c r="F341" s="10"/>
      <c r="H341" s="10"/>
    </row>
    <row r="343" spans="3:7" ht="15.75">
      <c r="C343" s="43"/>
      <c r="D343" s="44"/>
      <c r="E343" s="43"/>
      <c r="F343" s="44"/>
      <c r="G343" s="43"/>
    </row>
    <row r="344" spans="3:7" ht="15.75">
      <c r="C344" s="43"/>
      <c r="D344" s="44"/>
      <c r="E344" s="43"/>
      <c r="F344" s="44"/>
      <c r="G344" s="43"/>
    </row>
    <row r="345" spans="3:7" ht="15.75">
      <c r="C345" s="43"/>
      <c r="D345" s="43"/>
      <c r="E345" s="43"/>
      <c r="F345" s="43"/>
      <c r="G345" s="44"/>
    </row>
  </sheetData>
  <sheetProtection/>
  <mergeCells count="116">
    <mergeCell ref="C16:C19"/>
    <mergeCell ref="A5:G5"/>
    <mergeCell ref="B8:B9"/>
    <mergeCell ref="C8:D8"/>
    <mergeCell ref="E8:F8"/>
    <mergeCell ref="A12:A13"/>
    <mergeCell ref="B12:B13"/>
    <mergeCell ref="A14:A15"/>
    <mergeCell ref="A37:A42"/>
    <mergeCell ref="B37:B42"/>
    <mergeCell ref="A23:A30"/>
    <mergeCell ref="B23:B30"/>
    <mergeCell ref="B14:B15"/>
    <mergeCell ref="A16:A19"/>
    <mergeCell ref="B16:B19"/>
    <mergeCell ref="A34:A36"/>
    <mergeCell ref="B34:B36"/>
    <mergeCell ref="C68:C69"/>
    <mergeCell ref="A72:A76"/>
    <mergeCell ref="B72:B76"/>
    <mergeCell ref="A43:A45"/>
    <mergeCell ref="B43:B45"/>
    <mergeCell ref="A46:A50"/>
    <mergeCell ref="B46:B50"/>
    <mergeCell ref="A58:A60"/>
    <mergeCell ref="B58:B60"/>
    <mergeCell ref="A83:A85"/>
    <mergeCell ref="B83:B85"/>
    <mergeCell ref="A62:A63"/>
    <mergeCell ref="B62:B63"/>
    <mergeCell ref="A64:A66"/>
    <mergeCell ref="B64:B66"/>
    <mergeCell ref="A77:A79"/>
    <mergeCell ref="B77:B79"/>
    <mergeCell ref="A80:A82"/>
    <mergeCell ref="B80:B82"/>
    <mergeCell ref="A108:A109"/>
    <mergeCell ref="B108:B109"/>
    <mergeCell ref="A91:A92"/>
    <mergeCell ref="B91:B92"/>
    <mergeCell ref="A94:A96"/>
    <mergeCell ref="B94:B96"/>
    <mergeCell ref="A97:A98"/>
    <mergeCell ref="B97:B98"/>
    <mergeCell ref="A101:A105"/>
    <mergeCell ref="B101:B105"/>
    <mergeCell ref="A106:A107"/>
    <mergeCell ref="B106:B107"/>
    <mergeCell ref="A130:A132"/>
    <mergeCell ref="B130:B132"/>
    <mergeCell ref="A110:A111"/>
    <mergeCell ref="B110:B111"/>
    <mergeCell ref="B112:B114"/>
    <mergeCell ref="A113:A114"/>
    <mergeCell ref="A123:A124"/>
    <mergeCell ref="B123:B124"/>
    <mergeCell ref="A162:A163"/>
    <mergeCell ref="B162:B163"/>
    <mergeCell ref="A134:A138"/>
    <mergeCell ref="B134:B138"/>
    <mergeCell ref="A150:A151"/>
    <mergeCell ref="B150:B151"/>
    <mergeCell ref="A159:A160"/>
    <mergeCell ref="B159:B160"/>
    <mergeCell ref="A155:A157"/>
    <mergeCell ref="B155:B157"/>
    <mergeCell ref="A125:A127"/>
    <mergeCell ref="B125:B127"/>
    <mergeCell ref="A128:A129"/>
    <mergeCell ref="B128:B129"/>
    <mergeCell ref="A153:A154"/>
    <mergeCell ref="B153:B154"/>
    <mergeCell ref="D202:D203"/>
    <mergeCell ref="A164:A166"/>
    <mergeCell ref="B164:B166"/>
    <mergeCell ref="A169:A170"/>
    <mergeCell ref="B169:B170"/>
    <mergeCell ref="A182:A184"/>
    <mergeCell ref="B182:B184"/>
    <mergeCell ref="C221:C223"/>
    <mergeCell ref="A226:A227"/>
    <mergeCell ref="B226:B227"/>
    <mergeCell ref="A199:A200"/>
    <mergeCell ref="B199:B200"/>
    <mergeCell ref="A201:A203"/>
    <mergeCell ref="B201:B203"/>
    <mergeCell ref="C201:C203"/>
    <mergeCell ref="A245:A246"/>
    <mergeCell ref="B245:B246"/>
    <mergeCell ref="A205:A206"/>
    <mergeCell ref="B205:B206"/>
    <mergeCell ref="A210:A211"/>
    <mergeCell ref="B210:B211"/>
    <mergeCell ref="A230:A231"/>
    <mergeCell ref="B230:B231"/>
    <mergeCell ref="A235:A242"/>
    <mergeCell ref="B235:B242"/>
    <mergeCell ref="A249:A254"/>
    <mergeCell ref="B249:B254"/>
    <mergeCell ref="B298:B304"/>
    <mergeCell ref="A260:A266"/>
    <mergeCell ref="B260:B266"/>
    <mergeCell ref="A271:A276"/>
    <mergeCell ref="B271:B276"/>
    <mergeCell ref="A279:A280"/>
    <mergeCell ref="B279:B280"/>
    <mergeCell ref="A319:B319"/>
    <mergeCell ref="A281:A282"/>
    <mergeCell ref="B281:B282"/>
    <mergeCell ref="A285:A292"/>
    <mergeCell ref="B285:B292"/>
    <mergeCell ref="A298:A304"/>
    <mergeCell ref="A306:A307"/>
    <mergeCell ref="B306:B307"/>
    <mergeCell ref="A309:A316"/>
    <mergeCell ref="B309:B316"/>
  </mergeCells>
  <printOptions/>
  <pageMargins left="0.3937007874015748" right="0.2362204724409449" top="0.41" bottom="0.3" header="0.2362204724409449" footer="0.2362204724409449"/>
  <pageSetup fitToHeight="16" horizontalDpi="600" verticalDpi="600" orientation="landscape" paperSize="9" scale="66"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2017-06-23T11:23:17Z</cp:lastPrinted>
  <dcterms:created xsi:type="dcterms:W3CDTF">1996-10-08T23:32:33Z</dcterms:created>
  <dcterms:modified xsi:type="dcterms:W3CDTF">2017-06-29T13:17:46Z</dcterms:modified>
  <cp:category/>
  <cp:version/>
  <cp:contentType/>
  <cp:contentStatus/>
</cp:coreProperties>
</file>