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Лист1" sheetId="4" state="hidden" r:id="rId4"/>
  </sheets>
  <definedNames>
    <definedName name="_GoBack" localSheetId="3">'Лист1'!$A$29</definedName>
    <definedName name="_xlnm.Print_Area" localSheetId="0">'додаток 1'!$A$1:$H$111</definedName>
    <definedName name="_xlnm.Print_Area" localSheetId="2">'Додаток 3'!$A$1:$G$127</definedName>
  </definedNames>
  <calcPr fullCalcOnLoad="1"/>
</workbook>
</file>

<file path=xl/sharedStrings.xml><?xml version="1.0" encoding="utf-8"?>
<sst xmlns="http://schemas.openxmlformats.org/spreadsheetml/2006/main" count="331" uniqueCount="160">
  <si>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</si>
  <si>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</si>
  <si>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</si>
  <si>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</si>
  <si>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</si>
  <si>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</si>
  <si>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</si>
  <si>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</si>
  <si>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</si>
  <si>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</si>
  <si>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</si>
  <si>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</si>
  <si>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</si>
  <si>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</si>
  <si>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</si>
  <si>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</si>
  <si>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</si>
  <si>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</si>
  <si>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</si>
  <si>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</si>
  <si>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</si>
  <si>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</si>
  <si>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</si>
  <si>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</si>
  <si>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</si>
  <si>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</si>
  <si>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</si>
  <si>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</si>
  <si>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</si>
  <si>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</si>
  <si>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</si>
  <si>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</si>
  <si>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</si>
  <si>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</si>
  <si>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</si>
  <si>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</si>
  <si>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</si>
  <si>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</si>
  <si>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</si>
  <si>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</si>
  <si>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</si>
  <si>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</si>
  <si>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</si>
  <si>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</si>
  <si>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</si>
  <si>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</si>
  <si>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</si>
  <si>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</si>
  <si>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</si>
  <si>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</si>
  <si>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</si>
  <si>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</si>
  <si>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</si>
  <si>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</si>
  <si>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</si>
  <si>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</si>
  <si>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Капітальний ремонт житлового фонду</t>
  </si>
  <si>
    <t>Капітальний ремонт житлового фонду, в тому числі:</t>
  </si>
  <si>
    <t>вибірковий капітальний ремонт житлових будинків</t>
  </si>
  <si>
    <t>капітальний ремонт покрівель житлових будинків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</si>
  <si>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</si>
  <si>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</si>
  <si>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</si>
  <si>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</si>
  <si>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</si>
  <si>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</si>
  <si>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</si>
  <si>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</si>
  <si>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</si>
  <si>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департамент економічного розвитку Запорізької міської ради</t>
  </si>
  <si>
    <t>Фінансова підтримка комунальних підприємств на поповнення обігових коштів</t>
  </si>
  <si>
    <t>придбання комп'ютерної техніки та інших предметів довгострокового користування</t>
  </si>
  <si>
    <t>Головний розпорядник бюджетних коштів - департамент житлово-комунального господарства Запорізької міської ради</t>
  </si>
  <si>
    <t>будинок</t>
  </si>
  <si>
    <t>тис.п.м.</t>
  </si>
  <si>
    <t>башт</t>
  </si>
  <si>
    <t>тис.од.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</si>
  <si>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</si>
  <si>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</si>
  <si>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</si>
  <si>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</si>
  <si>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</si>
  <si>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</si>
  <si>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</si>
  <si>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</si>
  <si>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</si>
  <si>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</si>
  <si>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тис кв м</t>
  </si>
  <si>
    <t>прибирання снігу та посипання території протиожеледними засобами</t>
  </si>
  <si>
    <t>тис.куб.м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</si>
  <si>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</si>
  <si>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</si>
  <si>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>Концерн "Міські теплові мережі"</t>
  </si>
  <si>
    <t>____________№________</t>
  </si>
  <si>
    <t xml:space="preserve">                      № </t>
  </si>
  <si>
    <t xml:space="preserve">                         №</t>
  </si>
  <si>
    <t xml:space="preserve">                     №</t>
  </si>
  <si>
    <t>з виконання Програми розвитку та утримання житлово-комунального господарства м. Запоріжжя на 2017-2019 роки</t>
  </si>
  <si>
    <t>Програми розвитку та утримання житлово-комунального господарства м. Запоріжжя на 2017-2019 роки</t>
  </si>
  <si>
    <t>коеф-нт</t>
  </si>
  <si>
    <t>до Програми розвитку та утримання житлово-комунального господарства              м. Запоріжжя на 2017-2019 роки</t>
  </si>
  <si>
    <t>виконання Програми розвитку та утримання житлово-комунального господарства м. Запоріжжя на 2017-2019 роки</t>
  </si>
  <si>
    <t>моніторинг за деформаціями житлових будинків та по усуненню їх наднормативних кренів</t>
  </si>
  <si>
    <t>заміна підвищувальних насосів</t>
  </si>
  <si>
    <t>виготовлення технічної документації житлових будинків для подальшої передачі в ОСББ</t>
  </si>
  <si>
    <t>санітарне обрізування дерев на прибудинкових територіях житлового фонду</t>
  </si>
  <si>
    <t>звалювання дерев на прибудинкових територіях житлового фонду</t>
  </si>
  <si>
    <t>Головний розпорядник бюджетних коштів - департамент економічного розвитку Запорізької міської ради</t>
  </si>
  <si>
    <t>поповнення обігових коштів для забезпечення стабільного функціонування комунальних підприємств міста</t>
  </si>
  <si>
    <t>дератизація, дезінсекція житлових будинків</t>
  </si>
  <si>
    <t>до Програми розвитку та утримання житлово-комунального господарства        м. Запоріжжя на 2017-2019 роки</t>
  </si>
  <si>
    <t>утримання внутрішньо-квартальних проїздів, в тому числі:</t>
  </si>
  <si>
    <t>до Програми розвитку та утримання житлово-комунального господарства м.Запоріжжя на 2017-2019 роки</t>
  </si>
  <si>
    <t xml:space="preserve">покіс трави </t>
  </si>
  <si>
    <t xml:space="preserve">санітарне обрізування дерев на прибудинкових територіях житлового фонду </t>
  </si>
  <si>
    <t xml:space="preserve">звалювання дерев на прибудинкових територіях житлового фонду 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</si>
  <si>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</si>
  <si>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</si>
  <si>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</si>
  <si>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блок-секції</t>
  </si>
  <si>
    <t>заміна інженерних мереж водо-, теплопостачання</t>
  </si>
  <si>
    <t>проектні роботи, в т.ч.: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</si>
  <si>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підприємств, в тому числі:</t>
  </si>
  <si>
    <t>виготовлення технічної документації на переведення нежитлових приміщень до житлового фонду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</si>
  <si>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</si>
  <si>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</si>
  <si>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кв.м.</t>
  </si>
  <si>
    <t>од</t>
  </si>
  <si>
    <t>Придбання обладнання і предметів довгострокового користування, капітальний ремонт приміщень, в тому числі:</t>
  </si>
  <si>
    <t>збирання та вивезення безпечних відходів</t>
  </si>
  <si>
    <t>тис. куб.м.</t>
  </si>
  <si>
    <t>Будівництво та придбання житла для окремих категорій населення</t>
  </si>
  <si>
    <t>Забезпечення житлом окремих категорій населення, в тому числі:</t>
  </si>
  <si>
    <t xml:space="preserve">Забезпечення придбання житла для окремих категорій населення </t>
  </si>
  <si>
    <t>відновлення кришок оглядових колодязів</t>
  </si>
  <si>
    <t>заміна приладів обліку електричної енергії</t>
  </si>
  <si>
    <t>Комунальне підприємство "Наше місто" ЗМР</t>
  </si>
  <si>
    <t xml:space="preserve">проведення технічного огляду ліфтів </t>
  </si>
  <si>
    <t>Забезпечення функціонування теплових мереж</t>
  </si>
  <si>
    <t>Забезпечення функціонування теплових мереж, в тому числі:</t>
  </si>
  <si>
    <t>очищення снігу і льоду (бурульок) з дахів та покрівель</t>
  </si>
  <si>
    <t>м.п.</t>
  </si>
  <si>
    <t>Комунальне підприємство "Запоріжремсервіс" ЗМР</t>
  </si>
  <si>
    <t>капітальний ремонт електроживлячих стояків</t>
  </si>
  <si>
    <t>капітальний ремонт житлових будинків - переможців конкурсу "Моє чисте подвір'я", в тому числі житлових будинків об'єднань співвласників багатоквартирних будинків</t>
  </si>
  <si>
    <t xml:space="preserve">навантаження, подрібнення та вивіз опалого листя та гілля </t>
  </si>
  <si>
    <t>капітальний ремонт внутрішньобудинкових систем централізованого опалення</t>
  </si>
  <si>
    <t>капітальний ремонт житлових будинків - переможців конкурсу "Громадський бюджет",  в тому числі житлових будинків об'єднань співвласників багатоквартирних будинків</t>
  </si>
  <si>
    <t>проведення державної повірки та ремонт приладів обліку теплової енергії, які встановлені у жилому фонді</t>
  </si>
  <si>
    <t xml:space="preserve">забезпечення функціонування теплових мереж </t>
  </si>
  <si>
    <t xml:space="preserve">забезпечення придбання житла для окремих категорій населення </t>
  </si>
  <si>
    <t>забезпечення функціонування теплових мереж</t>
  </si>
  <si>
    <t>Інші видатки</t>
  </si>
  <si>
    <t xml:space="preserve">Придбання основних засобів з метою забезпечення безперебійної роботи комунальних підприємств  </t>
  </si>
  <si>
    <t xml:space="preserve">придбання спеціальної техніки комунальному підприємству «Центр управління інформаційними технологіями»   </t>
  </si>
  <si>
    <t>виготовлення технічних паспортів на ліфти</t>
  </si>
  <si>
    <t>виконання робіт з підготовки  схем внутрішньоквартальних доріг, тротуарів, зелених насаджень та пішохідних доріжок у кварталах житлової забудови м.Запоріжжя з визначенням площ</t>
  </si>
  <si>
    <t>Виконання доручень депутатів Запорізької обласної ради</t>
  </si>
  <si>
    <t>виконання доручень депутатів Запорізької обласної ради</t>
  </si>
  <si>
    <t>Виконання інших завдань та заходів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</si>
</sst>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8"/>
      <color indexed="22"/>
      <name val="Times New Roman"/>
      <family val="1"/>
    </font>
    <font>
      <sz val="14"/>
      <color indexed="22"/>
      <name val="Times New Roman"/>
      <family val="1"/>
    </font>
    <font>
      <i/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theme="0" tint="-0.1499900072813034"/>
      <name val="Times New Roman"/>
      <family val="1"/>
    </font>
    <font>
      <b/>
      <sz val="10"/>
      <color theme="0" tint="-0.1499900072813034"/>
      <name val="Times New Roman"/>
      <family val="1"/>
    </font>
    <font>
      <sz val="8"/>
      <color theme="0" tint="-0.1499900072813034"/>
      <name val="Times New Roman"/>
      <family val="1"/>
    </font>
    <font>
      <sz val="14"/>
      <color theme="0" tint="-0.1499900072813034"/>
      <name val="Times New Roman"/>
      <family val="1"/>
    </font>
    <font>
      <i/>
      <sz val="10"/>
      <color theme="0" tint="-0.14999000728130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204" fontId="4" fillId="0" borderId="0" xfId="0" applyNumberFormat="1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20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204" fontId="12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16" fontId="1" fillId="0" borderId="10" xfId="0" applyNumberFormat="1" applyFont="1" applyFill="1" applyBorder="1" applyAlignment="1">
      <alignment horizontal="center" vertical="top" wrapText="1"/>
    </xf>
    <xf numFmtId="204" fontId="1" fillId="0" borderId="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204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204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205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top" wrapText="1"/>
    </xf>
    <xf numFmtId="204" fontId="11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204" fontId="1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1" fontId="1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204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05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204" fontId="13" fillId="0" borderId="0" xfId="0" applyNumberFormat="1" applyFont="1" applyFill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204" fontId="1" fillId="0" borderId="0" xfId="0" applyNumberFormat="1" applyFont="1" applyFill="1" applyAlignment="1">
      <alignment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205" fontId="1" fillId="0" borderId="10" xfId="0" applyNumberFormat="1" applyFont="1" applyFill="1" applyBorder="1" applyAlignment="1">
      <alignment horizontal="center" vertical="top"/>
    </xf>
    <xf numFmtId="17" fontId="55" fillId="0" borderId="0" xfId="0" applyNumberFormat="1" applyFont="1" applyFill="1" applyAlignment="1">
      <alignment horizontal="center" vertical="top" wrapText="1"/>
    </xf>
    <xf numFmtId="204" fontId="55" fillId="0" borderId="0" xfId="0" applyNumberFormat="1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204" fontId="56" fillId="0" borderId="0" xfId="0" applyNumberFormat="1" applyFont="1" applyFill="1" applyAlignment="1">
      <alignment horizontal="center" vertical="top" wrapText="1"/>
    </xf>
    <xf numFmtId="0" fontId="57" fillId="0" borderId="0" xfId="0" applyFont="1" applyFill="1" applyAlignment="1">
      <alignment horizontal="right" vertical="top" wrapText="1"/>
    </xf>
    <xf numFmtId="205" fontId="55" fillId="0" borderId="0" xfId="0" applyNumberFormat="1" applyFont="1" applyFill="1" applyAlignment="1">
      <alignment horizontal="center" vertical="top" wrapText="1"/>
    </xf>
    <xf numFmtId="0" fontId="55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5" fillId="0" borderId="0" xfId="0" applyFont="1" applyFill="1" applyAlignment="1">
      <alignment horizontal="center" vertical="center" wrapText="1"/>
    </xf>
    <xf numFmtId="204" fontId="55" fillId="0" borderId="0" xfId="0" applyNumberFormat="1" applyFont="1" applyFill="1" applyAlignment="1">
      <alignment horizontal="center" vertical="center" wrapText="1"/>
    </xf>
    <xf numFmtId="204" fontId="56" fillId="0" borderId="0" xfId="0" applyNumberFormat="1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59" fillId="0" borderId="0" xfId="0" applyFont="1" applyFill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L127"/>
  <sheetViews>
    <sheetView view="pageBreakPreview" zoomScaleSheetLayoutView="100" zoomScalePageLayoutView="0" workbookViewId="0" topLeftCell="A89">
      <selection activeCell="A13" sqref="A13:H13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5.140625" style="2" customWidth="1"/>
    <col min="9" max="9" width="10.8515625" style="1" bestFit="1" customWidth="1"/>
    <col min="10" max="10" width="10.140625" style="108" bestFit="1" customWidth="1"/>
    <col min="11" max="16384" width="9.140625" style="1" customWidth="1"/>
  </cols>
  <sheetData>
    <row r="5" spans="6:8" ht="20.25" hidden="1">
      <c r="F5" s="135" t="s">
        <v>45</v>
      </c>
      <c r="G5" s="135"/>
      <c r="H5" s="135"/>
    </row>
    <row r="6" spans="6:8" ht="20.25" hidden="1">
      <c r="F6" s="135" t="s">
        <v>46</v>
      </c>
      <c r="G6" s="135"/>
      <c r="H6" s="135"/>
    </row>
    <row r="7" spans="6:8" ht="20.25" hidden="1">
      <c r="F7" s="136" t="s">
        <v>95</v>
      </c>
      <c r="G7" s="136"/>
      <c r="H7" s="136"/>
    </row>
    <row r="8" spans="6:8" ht="20.25">
      <c r="F8" s="25"/>
      <c r="G8" s="25"/>
      <c r="H8" s="25"/>
    </row>
    <row r="9" spans="3:10" s="8" customFormat="1" ht="20.25" customHeight="1">
      <c r="C9" s="9"/>
      <c r="D9" s="9"/>
      <c r="E9" s="9"/>
      <c r="F9" s="135" t="s">
        <v>7</v>
      </c>
      <c r="G9" s="135"/>
      <c r="H9" s="135"/>
      <c r="J9" s="109"/>
    </row>
    <row r="10" spans="3:10" s="8" customFormat="1" ht="81.75" customHeight="1">
      <c r="C10" s="9"/>
      <c r="D10" s="9"/>
      <c r="E10" s="9"/>
      <c r="F10" s="135" t="s">
        <v>112</v>
      </c>
      <c r="G10" s="135"/>
      <c r="H10" s="135"/>
      <c r="J10" s="109"/>
    </row>
    <row r="12" spans="1:10" s="8" customFormat="1" ht="20.25">
      <c r="A12" s="138" t="s">
        <v>6</v>
      </c>
      <c r="B12" s="138"/>
      <c r="C12" s="138"/>
      <c r="D12" s="138"/>
      <c r="E12" s="138"/>
      <c r="F12" s="138"/>
      <c r="G12" s="138"/>
      <c r="H12" s="138"/>
      <c r="J12" s="109"/>
    </row>
    <row r="13" spans="1:10" s="8" customFormat="1" ht="20.25">
      <c r="A13" s="137" t="s">
        <v>97</v>
      </c>
      <c r="B13" s="137"/>
      <c r="C13" s="137"/>
      <c r="D13" s="137"/>
      <c r="E13" s="137"/>
      <c r="F13" s="137"/>
      <c r="G13" s="137"/>
      <c r="H13" s="137"/>
      <c r="J13" s="109"/>
    </row>
    <row r="14" spans="1:10" s="8" customFormat="1" ht="9.75" customHeight="1">
      <c r="A14" s="17"/>
      <c r="B14" s="17"/>
      <c r="C14" s="17"/>
      <c r="D14" s="17"/>
      <c r="E14" s="17"/>
      <c r="F14" s="17"/>
      <c r="G14" s="17"/>
      <c r="H14" s="17"/>
      <c r="J14" s="109"/>
    </row>
    <row r="15" spans="1:10" s="4" customFormat="1" ht="19.5" customHeight="1">
      <c r="A15" s="129" t="s">
        <v>0</v>
      </c>
      <c r="B15" s="129" t="s">
        <v>1</v>
      </c>
      <c r="C15" s="129" t="s">
        <v>2</v>
      </c>
      <c r="D15" s="129" t="s">
        <v>3</v>
      </c>
      <c r="E15" s="129" t="s">
        <v>33</v>
      </c>
      <c r="F15" s="129"/>
      <c r="G15" s="129"/>
      <c r="H15" s="129"/>
      <c r="J15" s="110"/>
    </row>
    <row r="16" spans="1:10" s="4" customFormat="1" ht="18" customHeight="1">
      <c r="A16" s="129"/>
      <c r="B16" s="129"/>
      <c r="C16" s="129"/>
      <c r="D16" s="129"/>
      <c r="E16" s="129" t="s">
        <v>4</v>
      </c>
      <c r="F16" s="129" t="s">
        <v>5</v>
      </c>
      <c r="G16" s="129"/>
      <c r="H16" s="129"/>
      <c r="J16" s="110"/>
    </row>
    <row r="17" spans="1:10" s="4" customFormat="1" ht="12.75">
      <c r="A17" s="129"/>
      <c r="B17" s="129"/>
      <c r="C17" s="129"/>
      <c r="D17" s="129"/>
      <c r="E17" s="129"/>
      <c r="F17" s="3">
        <v>2017</v>
      </c>
      <c r="G17" s="3">
        <v>2018</v>
      </c>
      <c r="H17" s="3">
        <v>2019</v>
      </c>
      <c r="J17" s="110"/>
    </row>
    <row r="18" spans="1:10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J18" s="110"/>
    </row>
    <row r="19" spans="1:10" s="4" customFormat="1" ht="12.75">
      <c r="A19" s="130" t="s">
        <v>56</v>
      </c>
      <c r="B19" s="131"/>
      <c r="C19" s="131"/>
      <c r="D19" s="131"/>
      <c r="E19" s="131"/>
      <c r="F19" s="131"/>
      <c r="G19" s="131"/>
      <c r="H19" s="132"/>
      <c r="J19" s="110"/>
    </row>
    <row r="20" spans="1:12" s="4" customFormat="1" ht="12.75" customHeight="1">
      <c r="A20" s="119" t="s">
        <v>57</v>
      </c>
      <c r="B20" s="14"/>
      <c r="C20" s="121" t="s">
        <v>90</v>
      </c>
      <c r="D20" s="28" t="s">
        <v>19</v>
      </c>
      <c r="E20" s="5">
        <f>SUM(E21:E38)-E35</f>
        <v>1744318.5561579394</v>
      </c>
      <c r="F20" s="5">
        <f>SUM(F21:F38)-F35</f>
        <v>493046.54999999993</v>
      </c>
      <c r="G20" s="5">
        <f>SUM(G21:G38)-G35</f>
        <v>599538.2781296</v>
      </c>
      <c r="H20" s="5">
        <f>SUM(H21:H38)-H35</f>
        <v>651733.7280283392</v>
      </c>
      <c r="I20" s="45"/>
      <c r="J20" s="111"/>
      <c r="L20" s="45"/>
    </row>
    <row r="21" spans="1:12" s="4" customFormat="1" ht="25.5">
      <c r="A21" s="128"/>
      <c r="B21" s="6" t="s">
        <v>58</v>
      </c>
      <c r="C21" s="125"/>
      <c r="D21" s="80"/>
      <c r="E21" s="7">
        <f aca="true" t="shared" si="0" ref="E21:E36">F21+G21+H21</f>
        <v>406829.017</v>
      </c>
      <c r="F21" s="7">
        <f>129899.328-15000+7000-8000+20+1712.344-337.996-4593.136+559.658-50-1202.509-8414.672</f>
        <v>101593.01699999998</v>
      </c>
      <c r="G21" s="7">
        <v>149276</v>
      </c>
      <c r="H21" s="7">
        <v>155960</v>
      </c>
      <c r="J21" s="111"/>
      <c r="L21" s="45"/>
    </row>
    <row r="22" spans="1:12" s="4" customFormat="1" ht="25.5">
      <c r="A22" s="78"/>
      <c r="B22" s="6" t="s">
        <v>59</v>
      </c>
      <c r="C22" s="125"/>
      <c r="D22" s="80"/>
      <c r="E22" s="7">
        <f t="shared" si="0"/>
        <v>265199.492</v>
      </c>
      <c r="F22" s="7">
        <f>73817.532+64.103+17611.617</f>
        <v>91493.25200000001</v>
      </c>
      <c r="G22" s="7">
        <v>84889.74</v>
      </c>
      <c r="H22" s="7">
        <v>88816.5</v>
      </c>
      <c r="J22" s="111"/>
      <c r="L22" s="45"/>
    </row>
    <row r="23" spans="1:10" s="4" customFormat="1" ht="25.5">
      <c r="A23" s="78"/>
      <c r="B23" s="6" t="s">
        <v>120</v>
      </c>
      <c r="C23" s="80"/>
      <c r="D23" s="80"/>
      <c r="E23" s="7">
        <f t="shared" si="0"/>
        <v>237154.824</v>
      </c>
      <c r="F23" s="7">
        <f>65116.621+25000-18000+393.163-519.96</f>
        <v>71989.824</v>
      </c>
      <c r="G23" s="7">
        <v>75075</v>
      </c>
      <c r="H23" s="7">
        <v>90090</v>
      </c>
      <c r="J23" s="111"/>
    </row>
    <row r="24" spans="1:10" s="4" customFormat="1" ht="38.25">
      <c r="A24" s="78"/>
      <c r="B24" s="6" t="s">
        <v>146</v>
      </c>
      <c r="C24" s="80"/>
      <c r="D24" s="80"/>
      <c r="E24" s="7">
        <f>F24+G24+H24</f>
        <v>10978.885</v>
      </c>
      <c r="F24" s="7">
        <v>10978.885</v>
      </c>
      <c r="G24" s="7">
        <v>0</v>
      </c>
      <c r="H24" s="7">
        <v>0</v>
      </c>
      <c r="J24" s="111"/>
    </row>
    <row r="25" spans="1:10" s="4" customFormat="1" ht="12.75">
      <c r="A25" s="78"/>
      <c r="B25" s="6" t="s">
        <v>103</v>
      </c>
      <c r="C25" s="80"/>
      <c r="D25" s="80"/>
      <c r="E25" s="7">
        <f>F25+G25+H25</f>
        <v>10000</v>
      </c>
      <c r="F25" s="7">
        <v>10000</v>
      </c>
      <c r="G25" s="7">
        <v>0</v>
      </c>
      <c r="H25" s="7">
        <v>0</v>
      </c>
      <c r="J25" s="111"/>
    </row>
    <row r="26" spans="1:10" s="4" customFormat="1" ht="25.5">
      <c r="A26" s="78"/>
      <c r="B26" s="6" t="s">
        <v>135</v>
      </c>
      <c r="C26" s="80"/>
      <c r="D26" s="80"/>
      <c r="E26" s="7">
        <f>F26+G26+H26</f>
        <v>683.888</v>
      </c>
      <c r="F26" s="7">
        <f>683.888</f>
        <v>683.888</v>
      </c>
      <c r="G26" s="7">
        <v>0</v>
      </c>
      <c r="H26" s="7">
        <v>0</v>
      </c>
      <c r="J26" s="111"/>
    </row>
    <row r="27" spans="1:10" s="4" customFormat="1" ht="25.5">
      <c r="A27" s="78"/>
      <c r="B27" s="6" t="s">
        <v>143</v>
      </c>
      <c r="C27" s="80"/>
      <c r="D27" s="80"/>
      <c r="E27" s="7">
        <f>F27+G27+H27</f>
        <v>193.871</v>
      </c>
      <c r="F27" s="7">
        <v>193.871</v>
      </c>
      <c r="G27" s="7">
        <v>0</v>
      </c>
      <c r="H27" s="7">
        <v>0</v>
      </c>
      <c r="J27" s="111"/>
    </row>
    <row r="28" spans="1:10" s="4" customFormat="1" ht="38.25">
      <c r="A28" s="78"/>
      <c r="B28" s="6" t="s">
        <v>60</v>
      </c>
      <c r="C28" s="80"/>
      <c r="D28" s="80"/>
      <c r="E28" s="7">
        <f t="shared" si="0"/>
        <v>382550</v>
      </c>
      <c r="F28" s="7">
        <f>100000+50-20000</f>
        <v>80050</v>
      </c>
      <c r="G28" s="7">
        <v>137500</v>
      </c>
      <c r="H28" s="7">
        <v>165000</v>
      </c>
      <c r="J28" s="111"/>
    </row>
    <row r="29" spans="1:10" s="4" customFormat="1" ht="25.5">
      <c r="A29" s="78"/>
      <c r="B29" s="6" t="s">
        <v>61</v>
      </c>
      <c r="C29" s="80"/>
      <c r="D29" s="80"/>
      <c r="E29" s="7">
        <f t="shared" si="0"/>
        <v>25889.513</v>
      </c>
      <c r="F29" s="7">
        <f>10000+889.513</f>
        <v>10889.513</v>
      </c>
      <c r="G29" s="7">
        <v>9000</v>
      </c>
      <c r="H29" s="7">
        <v>6000</v>
      </c>
      <c r="J29" s="111"/>
    </row>
    <row r="30" spans="1:10" s="4" customFormat="1" ht="25.5">
      <c r="A30" s="78"/>
      <c r="B30" s="6" t="s">
        <v>80</v>
      </c>
      <c r="C30" s="80"/>
      <c r="D30" s="80"/>
      <c r="E30" s="7">
        <f>F30+G30+H30</f>
        <v>25511.506999999998</v>
      </c>
      <c r="F30" s="7">
        <f>2665.108-1024.217-1612.344-17.04</f>
        <v>11.507000000000026</v>
      </c>
      <c r="G30" s="7">
        <v>12000</v>
      </c>
      <c r="H30" s="7">
        <v>13500</v>
      </c>
      <c r="J30" s="111"/>
    </row>
    <row r="31" spans="1:10" s="4" customFormat="1" ht="12.75">
      <c r="A31" s="78"/>
      <c r="B31" s="6" t="s">
        <v>66</v>
      </c>
      <c r="C31" s="80"/>
      <c r="D31" s="80"/>
      <c r="E31" s="7">
        <f>F31+G31+H31</f>
        <v>273.30899999999997</v>
      </c>
      <c r="F31" s="7">
        <f>1290.233-1236.924+220</f>
        <v>273.30899999999997</v>
      </c>
      <c r="G31" s="7">
        <v>0</v>
      </c>
      <c r="H31" s="7">
        <v>0</v>
      </c>
      <c r="J31" s="111"/>
    </row>
    <row r="32" spans="1:10" s="4" customFormat="1" ht="12.75">
      <c r="A32" s="78"/>
      <c r="B32" s="6" t="s">
        <v>62</v>
      </c>
      <c r="C32" s="80"/>
      <c r="D32" s="80"/>
      <c r="E32" s="7">
        <f t="shared" si="0"/>
        <v>48716.332</v>
      </c>
      <c r="F32" s="7">
        <f>13351.048-5000+1265.284</f>
        <v>9616.332</v>
      </c>
      <c r="G32" s="7">
        <v>22100</v>
      </c>
      <c r="H32" s="7">
        <v>17000</v>
      </c>
      <c r="J32" s="111"/>
    </row>
    <row r="33" spans="1:10" s="4" customFormat="1" ht="25.5">
      <c r="A33" s="78"/>
      <c r="B33" s="6" t="s">
        <v>63</v>
      </c>
      <c r="C33" s="80"/>
      <c r="D33" s="80"/>
      <c r="E33" s="7">
        <f t="shared" si="0"/>
        <v>308200.1406068096</v>
      </c>
      <c r="F33" s="7">
        <f>32000+28000+30000+1617.359+4900.962</f>
        <v>96518.321</v>
      </c>
      <c r="G33" s="7">
        <f>F33*Лист1!$B$3</f>
        <v>103158.7814848</v>
      </c>
      <c r="H33" s="7">
        <f>G33*Лист1!$C$3</f>
        <v>108523.0381220096</v>
      </c>
      <c r="J33" s="111"/>
    </row>
    <row r="34" spans="1:10" s="4" customFormat="1" ht="12.75">
      <c r="A34" s="78"/>
      <c r="B34" s="6" t="s">
        <v>121</v>
      </c>
      <c r="C34" s="80"/>
      <c r="D34" s="80"/>
      <c r="E34" s="7">
        <f t="shared" si="0"/>
        <v>1375.868</v>
      </c>
      <c r="F34" s="7">
        <f>F35</f>
        <v>435.347</v>
      </c>
      <c r="G34" s="7">
        <v>447.867</v>
      </c>
      <c r="H34" s="7">
        <v>492.654</v>
      </c>
      <c r="J34" s="111"/>
    </row>
    <row r="35" spans="1:10" s="4" customFormat="1" ht="24">
      <c r="A35" s="78"/>
      <c r="B35" s="44" t="s">
        <v>65</v>
      </c>
      <c r="C35" s="80"/>
      <c r="D35" s="80"/>
      <c r="E35" s="59">
        <f t="shared" si="0"/>
        <v>1375.868</v>
      </c>
      <c r="F35" s="59">
        <f>407.152+28.195</f>
        <v>435.347</v>
      </c>
      <c r="G35" s="74">
        <v>447.867</v>
      </c>
      <c r="H35" s="74">
        <v>492.654</v>
      </c>
      <c r="J35" s="111"/>
    </row>
    <row r="36" spans="1:10" s="4" customFormat="1" ht="75.75" customHeight="1">
      <c r="A36" s="78"/>
      <c r="B36" s="6" t="s">
        <v>144</v>
      </c>
      <c r="C36" s="80"/>
      <c r="D36" s="80"/>
      <c r="E36" s="7">
        <f t="shared" si="0"/>
        <v>898.9465511296</v>
      </c>
      <c r="F36" s="7">
        <f>281.521</f>
        <v>281.521</v>
      </c>
      <c r="G36" s="7">
        <f>F36*Лист1!$B$3</f>
        <v>300.8896448</v>
      </c>
      <c r="H36" s="7">
        <f>G36*Лист1!$C$3</f>
        <v>316.5359063296</v>
      </c>
      <c r="J36" s="111"/>
    </row>
    <row r="37" spans="1:10" s="4" customFormat="1" ht="76.5">
      <c r="A37" s="78"/>
      <c r="B37" s="6" t="s">
        <v>147</v>
      </c>
      <c r="C37" s="80"/>
      <c r="D37" s="80"/>
      <c r="E37" s="7">
        <f>F37+G37+H37</f>
        <v>402.96299999999997</v>
      </c>
      <c r="F37" s="7">
        <f>296+106.963</f>
        <v>402.96299999999997</v>
      </c>
      <c r="G37" s="7">
        <v>0</v>
      </c>
      <c r="H37" s="7">
        <f>G37*Лист1!$C$3</f>
        <v>0</v>
      </c>
      <c r="J37" s="111"/>
    </row>
    <row r="38" spans="1:10" s="4" customFormat="1" ht="51" customHeight="1">
      <c r="A38" s="79"/>
      <c r="B38" s="6" t="s">
        <v>102</v>
      </c>
      <c r="C38" s="82"/>
      <c r="D38" s="82"/>
      <c r="E38" s="7">
        <f>F38+G38+H38</f>
        <v>19460</v>
      </c>
      <c r="F38" s="7">
        <v>7635</v>
      </c>
      <c r="G38" s="7">
        <v>5790</v>
      </c>
      <c r="H38" s="7">
        <v>6035</v>
      </c>
      <c r="J38" s="111"/>
    </row>
    <row r="39" spans="1:10" s="4" customFormat="1" ht="12.75">
      <c r="A39" s="130" t="s">
        <v>67</v>
      </c>
      <c r="B39" s="131"/>
      <c r="C39" s="131"/>
      <c r="D39" s="131"/>
      <c r="E39" s="131"/>
      <c r="F39" s="131"/>
      <c r="G39" s="131"/>
      <c r="H39" s="132"/>
      <c r="J39" s="111"/>
    </row>
    <row r="40" spans="1:10" s="4" customFormat="1" ht="12.75" customHeight="1">
      <c r="A40" s="119" t="s">
        <v>35</v>
      </c>
      <c r="B40" s="14"/>
      <c r="C40" s="121" t="s">
        <v>90</v>
      </c>
      <c r="D40" s="38" t="s">
        <v>19</v>
      </c>
      <c r="E40" s="5">
        <f>E41+E42+E43+E44+E49+E50+E51+E52+E54+E55+E56+E57</f>
        <v>62137.774860352</v>
      </c>
      <c r="F40" s="5">
        <f>F41+F42+F43+F44+F49+F50+F51+F52+F54+F55+F56+F57+F48+F53</f>
        <v>20253.436999999998</v>
      </c>
      <c r="G40" s="5">
        <f>G41+G42+G43+G44+G49+G50+G51+G52+G54+G55+G56+G57</f>
        <v>20593.659775999997</v>
      </c>
      <c r="H40" s="5">
        <f>H41+H42+H43+H44+H49+H50+H51+H52+H54+H55+H56+H57</f>
        <v>21664.530084352</v>
      </c>
      <c r="J40" s="111"/>
    </row>
    <row r="41" spans="1:10" s="4" customFormat="1" ht="84">
      <c r="A41" s="128"/>
      <c r="B41" s="71" t="s">
        <v>86</v>
      </c>
      <c r="C41" s="125"/>
      <c r="D41" s="80"/>
      <c r="E41" s="7">
        <f>F41+G41+H41</f>
        <v>2771.1704415616</v>
      </c>
      <c r="F41" s="7">
        <v>867.841</v>
      </c>
      <c r="G41" s="7">
        <f>F41*Лист1!$B$3</f>
        <v>927.5484607999999</v>
      </c>
      <c r="H41" s="7">
        <f>G41*Лист1!$C$3</f>
        <v>975.7809807616</v>
      </c>
      <c r="J41" s="110"/>
    </row>
    <row r="42" spans="1:10" s="4" customFormat="1" ht="38.25">
      <c r="A42" s="78"/>
      <c r="B42" s="12" t="s">
        <v>105</v>
      </c>
      <c r="C42" s="81"/>
      <c r="D42" s="80"/>
      <c r="E42" s="7">
        <f aca="true" t="shared" si="1" ref="E42:E47">F42+G42+H42</f>
        <v>5941.9479006976</v>
      </c>
      <c r="F42" s="7">
        <f>1739.958+120.868</f>
        <v>1860.826</v>
      </c>
      <c r="G42" s="7">
        <f>F42*Лист1!$B$3</f>
        <v>1988.8508288</v>
      </c>
      <c r="H42" s="7">
        <f>G42*Лист1!$C$3</f>
        <v>2092.2710718976</v>
      </c>
      <c r="J42" s="110"/>
    </row>
    <row r="43" spans="1:10" s="4" customFormat="1" ht="38.25">
      <c r="A43" s="78"/>
      <c r="B43" s="12" t="s">
        <v>106</v>
      </c>
      <c r="C43" s="81"/>
      <c r="D43" s="80"/>
      <c r="E43" s="7">
        <f t="shared" si="1"/>
        <v>4769.831392243201</v>
      </c>
      <c r="F43" s="7">
        <f>1467.843+25.914</f>
        <v>1493.757</v>
      </c>
      <c r="G43" s="7">
        <f>F43*Лист1!$B$3</f>
        <v>1596.5274816</v>
      </c>
      <c r="H43" s="7">
        <f>G43*Лист1!$C$3</f>
        <v>1679.5469106432001</v>
      </c>
      <c r="J43" s="110"/>
    </row>
    <row r="44" spans="1:10" s="4" customFormat="1" ht="30.75" customHeight="1">
      <c r="A44" s="78"/>
      <c r="B44" s="12" t="s">
        <v>111</v>
      </c>
      <c r="C44" s="81"/>
      <c r="D44" s="80"/>
      <c r="E44" s="7">
        <f t="shared" si="1"/>
        <v>42839.4407728128</v>
      </c>
      <c r="F44" s="7">
        <f>F45+F46+F47</f>
        <v>13415.928</v>
      </c>
      <c r="G44" s="7">
        <f>F44*Лист1!$B$3</f>
        <v>14338.9438464</v>
      </c>
      <c r="H44" s="7">
        <f>G44*Лист1!$C$3</f>
        <v>15084.5689264128</v>
      </c>
      <c r="J44" s="110"/>
    </row>
    <row r="45" spans="1:10" s="4" customFormat="1" ht="12.75">
      <c r="A45" s="78"/>
      <c r="B45" s="60" t="s">
        <v>113</v>
      </c>
      <c r="C45" s="81"/>
      <c r="D45" s="80"/>
      <c r="E45" s="7">
        <f t="shared" si="1"/>
        <v>12772.7104</v>
      </c>
      <c r="F45" s="59">
        <f>8000-4000</f>
        <v>4000</v>
      </c>
      <c r="G45" s="7">
        <f>F45*Лист1!$B$3</f>
        <v>4275.2</v>
      </c>
      <c r="H45" s="7">
        <f>G45*Лист1!$C$3</f>
        <v>4497.5104</v>
      </c>
      <c r="J45" s="110"/>
    </row>
    <row r="46" spans="1:10" s="4" customFormat="1" ht="24">
      <c r="A46" s="78"/>
      <c r="B46" s="60" t="s">
        <v>145</v>
      </c>
      <c r="C46" s="81"/>
      <c r="D46" s="80"/>
      <c r="E46" s="7">
        <f t="shared" si="1"/>
        <v>25545.4208</v>
      </c>
      <c r="F46" s="59">
        <f>4000+10000-6000</f>
        <v>8000</v>
      </c>
      <c r="G46" s="7">
        <f>F46*Лист1!$B$3</f>
        <v>8550.4</v>
      </c>
      <c r="H46" s="7">
        <f>G46*Лист1!$C$3</f>
        <v>8995.0208</v>
      </c>
      <c r="J46" s="110"/>
    </row>
    <row r="47" spans="1:10" s="4" customFormat="1" ht="36" customHeight="1">
      <c r="A47" s="78"/>
      <c r="B47" s="60" t="s">
        <v>88</v>
      </c>
      <c r="C47" s="81"/>
      <c r="D47" s="80"/>
      <c r="E47" s="7">
        <f t="shared" si="1"/>
        <v>4521.3095728128</v>
      </c>
      <c r="F47" s="59">
        <v>1415.928</v>
      </c>
      <c r="G47" s="7">
        <f>F47*Лист1!$B$3</f>
        <v>1513.3438464</v>
      </c>
      <c r="H47" s="7">
        <f>G47*Лист1!$C$3</f>
        <v>1592.0377264128</v>
      </c>
      <c r="J47" s="110"/>
    </row>
    <row r="48" spans="1:10" s="4" customFormat="1" ht="78.75" customHeight="1">
      <c r="A48" s="78"/>
      <c r="B48" s="6" t="s">
        <v>156</v>
      </c>
      <c r="C48" s="81"/>
      <c r="D48" s="80"/>
      <c r="E48" s="7">
        <f>F48+G48+H48</f>
        <v>1046.2510269952</v>
      </c>
      <c r="F48" s="7">
        <v>327.652</v>
      </c>
      <c r="G48" s="7">
        <f>F48*Лист1!$B$3</f>
        <v>350.19445759999996</v>
      </c>
      <c r="H48" s="7">
        <f>G48*Лист1!$C$3</f>
        <v>368.4045693952</v>
      </c>
      <c r="J48" s="110"/>
    </row>
    <row r="49" spans="1:10" s="4" customFormat="1" ht="25.5">
      <c r="A49" s="78"/>
      <c r="B49" s="6" t="s">
        <v>109</v>
      </c>
      <c r="C49" s="81"/>
      <c r="D49" s="80"/>
      <c r="E49" s="7">
        <f>F49+G49+H49</f>
        <v>3822.6774388864</v>
      </c>
      <c r="F49" s="7">
        <f>750+447.139</f>
        <v>1197.1390000000001</v>
      </c>
      <c r="G49" s="7">
        <f>F49*Лист1!$B$3</f>
        <v>1279.5021632</v>
      </c>
      <c r="H49" s="7">
        <f>G49*Лист1!$C$3</f>
        <v>1346.0362756864001</v>
      </c>
      <c r="J49" s="110"/>
    </row>
    <row r="50" spans="1:10" s="4" customFormat="1" ht="51">
      <c r="A50" s="78"/>
      <c r="B50" s="6" t="s">
        <v>148</v>
      </c>
      <c r="C50" s="81"/>
      <c r="D50" s="80"/>
      <c r="E50" s="7">
        <f>F50+G50+H50</f>
        <v>418.3988677504</v>
      </c>
      <c r="F50" s="7">
        <f>119.239+11.79</f>
        <v>131.029</v>
      </c>
      <c r="G50" s="7">
        <f>F50*Лист1!$B$3</f>
        <v>140.0437952</v>
      </c>
      <c r="H50" s="7">
        <f>G50*Лист1!$C$3</f>
        <v>147.3260725504</v>
      </c>
      <c r="J50" s="110"/>
    </row>
    <row r="51" spans="1:10" s="4" customFormat="1" ht="51">
      <c r="A51" s="78"/>
      <c r="B51" s="19" t="s">
        <v>123</v>
      </c>
      <c r="C51" s="81"/>
      <c r="D51" s="80"/>
      <c r="E51" s="7">
        <f aca="true" t="shared" si="2" ref="E51:E57">SUM(F51:H51)</f>
        <v>228.3121984</v>
      </c>
      <c r="F51" s="7">
        <v>71.5</v>
      </c>
      <c r="G51" s="7">
        <f>F51*Лист1!$B$3</f>
        <v>76.4192</v>
      </c>
      <c r="H51" s="7">
        <f>G51*Лист1!$C$3</f>
        <v>80.39299840000001</v>
      </c>
      <c r="J51" s="110"/>
    </row>
    <row r="52" spans="1:10" s="4" customFormat="1" ht="43.5" customHeight="1">
      <c r="A52" s="85"/>
      <c r="B52" s="19" t="s">
        <v>104</v>
      </c>
      <c r="C52" s="81"/>
      <c r="D52" s="80"/>
      <c r="E52" s="7">
        <f t="shared" si="2"/>
        <v>734.430848</v>
      </c>
      <c r="F52" s="7">
        <v>230</v>
      </c>
      <c r="G52" s="7">
        <f>F52*Лист1!$B$3</f>
        <v>245.82399999999998</v>
      </c>
      <c r="H52" s="7">
        <f>G52*Лист1!$C$3</f>
        <v>258.606848</v>
      </c>
      <c r="J52" s="110"/>
    </row>
    <row r="53" spans="1:10" s="4" customFormat="1" ht="27.75" customHeight="1">
      <c r="A53" s="85"/>
      <c r="B53" s="19" t="s">
        <v>155</v>
      </c>
      <c r="C53" s="81"/>
      <c r="D53" s="80"/>
      <c r="E53" s="7">
        <f>SUM(F53:H53)</f>
        <v>46.2</v>
      </c>
      <c r="F53" s="7">
        <v>46.2</v>
      </c>
      <c r="G53" s="7"/>
      <c r="H53" s="7"/>
      <c r="J53" s="110"/>
    </row>
    <row r="54" spans="1:10" s="4" customFormat="1" ht="25.5">
      <c r="A54" s="84"/>
      <c r="B54" s="19" t="s">
        <v>129</v>
      </c>
      <c r="C54" s="75"/>
      <c r="D54" s="29"/>
      <c r="E54" s="7">
        <f t="shared" si="2"/>
        <v>198</v>
      </c>
      <c r="F54" s="7">
        <v>198</v>
      </c>
      <c r="G54" s="7"/>
      <c r="H54" s="7"/>
      <c r="J54" s="110"/>
    </row>
    <row r="55" spans="1:10" s="4" customFormat="1" ht="25.5">
      <c r="A55" s="78"/>
      <c r="B55" s="83" t="s">
        <v>134</v>
      </c>
      <c r="C55" s="75"/>
      <c r="D55" s="29"/>
      <c r="E55" s="7">
        <f t="shared" si="2"/>
        <v>172</v>
      </c>
      <c r="F55" s="7">
        <v>172</v>
      </c>
      <c r="G55" s="7"/>
      <c r="H55" s="7"/>
      <c r="J55" s="110"/>
    </row>
    <row r="56" spans="1:10" s="4" customFormat="1" ht="25.5">
      <c r="A56" s="78"/>
      <c r="B56" s="83" t="s">
        <v>137</v>
      </c>
      <c r="C56" s="75"/>
      <c r="D56" s="29"/>
      <c r="E56" s="7">
        <f t="shared" si="2"/>
        <v>179.4</v>
      </c>
      <c r="F56" s="7">
        <v>179.4</v>
      </c>
      <c r="G56" s="7"/>
      <c r="H56" s="7"/>
      <c r="J56" s="110"/>
    </row>
    <row r="57" spans="1:10" s="4" customFormat="1" ht="25.5">
      <c r="A57" s="79"/>
      <c r="B57" s="83" t="s">
        <v>140</v>
      </c>
      <c r="C57" s="75"/>
      <c r="D57" s="29"/>
      <c r="E57" s="7">
        <f t="shared" si="2"/>
        <v>62.165</v>
      </c>
      <c r="F57" s="7">
        <v>62.165</v>
      </c>
      <c r="G57" s="7"/>
      <c r="H57" s="7"/>
      <c r="J57" s="110"/>
    </row>
    <row r="58" spans="1:10" ht="12.75" customHeight="1">
      <c r="A58" s="126" t="s">
        <v>35</v>
      </c>
      <c r="B58" s="20"/>
      <c r="C58" s="127" t="s">
        <v>54</v>
      </c>
      <c r="D58" s="127" t="s">
        <v>19</v>
      </c>
      <c r="E58" s="5">
        <f>F58+G58+H58</f>
        <v>4105.154</v>
      </c>
      <c r="F58" s="5">
        <f>SUM(F59)</f>
        <v>4105.154</v>
      </c>
      <c r="G58" s="5">
        <f>SUM(G59)</f>
        <v>0</v>
      </c>
      <c r="H58" s="5">
        <f>SUM(H59)</f>
        <v>0</v>
      </c>
      <c r="J58" s="112">
        <f>F58+F60+F63+F66+F69+F72+F75</f>
        <v>21486.156</v>
      </c>
    </row>
    <row r="59" spans="1:8" ht="51">
      <c r="A59" s="126"/>
      <c r="B59" s="20" t="s">
        <v>49</v>
      </c>
      <c r="C59" s="127"/>
      <c r="D59" s="127"/>
      <c r="E59" s="7">
        <f>F59+G59+H59</f>
        <v>4105.154</v>
      </c>
      <c r="F59" s="7">
        <v>4105.154</v>
      </c>
      <c r="G59" s="7"/>
      <c r="H59" s="7"/>
    </row>
    <row r="60" spans="1:10" ht="15.75" customHeight="1">
      <c r="A60" s="119" t="s">
        <v>35</v>
      </c>
      <c r="B60" s="20"/>
      <c r="C60" s="121" t="s">
        <v>50</v>
      </c>
      <c r="D60" s="28" t="s">
        <v>19</v>
      </c>
      <c r="E60" s="5">
        <f>SUM(E61:E62)</f>
        <v>1990.996</v>
      </c>
      <c r="F60" s="5">
        <f>SUM(F61:F62)</f>
        <v>1990.996</v>
      </c>
      <c r="G60" s="5">
        <f>SUM(G61:G61)</f>
        <v>0</v>
      </c>
      <c r="H60" s="5">
        <f>SUM(H61:H61)</f>
        <v>0</v>
      </c>
      <c r="J60" s="113">
        <f>SUM(J61:J62)</f>
        <v>0</v>
      </c>
    </row>
    <row r="61" spans="1:10" ht="51.75" customHeight="1">
      <c r="A61" s="128"/>
      <c r="B61" s="20" t="s">
        <v>49</v>
      </c>
      <c r="C61" s="125"/>
      <c r="D61" s="80"/>
      <c r="E61" s="7">
        <f aca="true" t="shared" si="3" ref="E61:E76">F61+G61+H61</f>
        <v>1951.449</v>
      </c>
      <c r="F61" s="7">
        <f>2016.97-39.548-25.974+0.001</f>
        <v>1951.449</v>
      </c>
      <c r="G61" s="7"/>
      <c r="H61" s="7"/>
      <c r="J61" s="108">
        <v>0.001</v>
      </c>
    </row>
    <row r="62" spans="1:10" ht="66.75" customHeight="1">
      <c r="A62" s="120"/>
      <c r="B62" s="20" t="s">
        <v>81</v>
      </c>
      <c r="C62" s="29"/>
      <c r="D62" s="82"/>
      <c r="E62" s="7">
        <f t="shared" si="3"/>
        <v>39.547000000000004</v>
      </c>
      <c r="F62" s="7">
        <f>39.548-0.001</f>
        <v>39.547000000000004</v>
      </c>
      <c r="G62" s="7">
        <v>0</v>
      </c>
      <c r="H62" s="7">
        <f>G62*1.055</f>
        <v>0</v>
      </c>
      <c r="J62" s="108">
        <v>-0.001</v>
      </c>
    </row>
    <row r="63" spans="1:8" ht="12" customHeight="1">
      <c r="A63" s="126" t="s">
        <v>35</v>
      </c>
      <c r="B63" s="20"/>
      <c r="C63" s="121" t="s">
        <v>52</v>
      </c>
      <c r="D63" s="121" t="s">
        <v>19</v>
      </c>
      <c r="E63" s="5">
        <f t="shared" si="3"/>
        <v>4741.133</v>
      </c>
      <c r="F63" s="5">
        <f>SUM(F64:F65)</f>
        <v>4741.133</v>
      </c>
      <c r="G63" s="5">
        <f>SUM(G65)</f>
        <v>0</v>
      </c>
      <c r="H63" s="5">
        <f>SUM(H65)</f>
        <v>0</v>
      </c>
    </row>
    <row r="64" spans="1:8" ht="54" customHeight="1">
      <c r="A64" s="126"/>
      <c r="B64" s="20" t="s">
        <v>49</v>
      </c>
      <c r="C64" s="125"/>
      <c r="D64" s="125"/>
      <c r="E64" s="7">
        <f t="shared" si="3"/>
        <v>4646.925</v>
      </c>
      <c r="F64" s="7">
        <f>4741.133-94.208</f>
        <v>4646.925</v>
      </c>
      <c r="G64" s="7">
        <v>0</v>
      </c>
      <c r="H64" s="7">
        <f>G64*1.055</f>
        <v>0</v>
      </c>
    </row>
    <row r="65" spans="1:8" ht="66.75" customHeight="1">
      <c r="A65" s="126"/>
      <c r="B65" s="20" t="s">
        <v>81</v>
      </c>
      <c r="C65" s="122"/>
      <c r="D65" s="122"/>
      <c r="E65" s="7">
        <f t="shared" si="3"/>
        <v>94.208</v>
      </c>
      <c r="F65" s="7">
        <v>94.208</v>
      </c>
      <c r="G65" s="7">
        <v>0</v>
      </c>
      <c r="H65" s="7">
        <f>G65*1.055</f>
        <v>0</v>
      </c>
    </row>
    <row r="66" spans="1:8" ht="13.5" customHeight="1">
      <c r="A66" s="119" t="s">
        <v>35</v>
      </c>
      <c r="B66" s="20"/>
      <c r="C66" s="121" t="s">
        <v>22</v>
      </c>
      <c r="D66" s="121" t="s">
        <v>19</v>
      </c>
      <c r="E66" s="5">
        <f t="shared" si="3"/>
        <v>2370.519</v>
      </c>
      <c r="F66" s="5">
        <f>SUM(F67:F68)</f>
        <v>2370.519</v>
      </c>
      <c r="G66" s="5">
        <f>SUM(G67)</f>
        <v>0</v>
      </c>
      <c r="H66" s="5">
        <f>SUM(H67)</f>
        <v>0</v>
      </c>
    </row>
    <row r="67" spans="1:8" ht="54" customHeight="1">
      <c r="A67" s="128"/>
      <c r="B67" s="20" t="s">
        <v>49</v>
      </c>
      <c r="C67" s="125"/>
      <c r="D67" s="125"/>
      <c r="E67" s="7">
        <f t="shared" si="3"/>
        <v>2326.019</v>
      </c>
      <c r="F67" s="7">
        <f>2370.519-44.5</f>
        <v>2326.019</v>
      </c>
      <c r="G67" s="7">
        <v>0</v>
      </c>
      <c r="H67" s="7">
        <f>G67*1.055</f>
        <v>0</v>
      </c>
    </row>
    <row r="68" spans="1:8" ht="66.75" customHeight="1">
      <c r="A68" s="63"/>
      <c r="B68" s="20" t="s">
        <v>81</v>
      </c>
      <c r="C68" s="29"/>
      <c r="D68" s="29"/>
      <c r="E68" s="7">
        <f t="shared" si="3"/>
        <v>44.5</v>
      </c>
      <c r="F68" s="7">
        <v>44.5</v>
      </c>
      <c r="G68" s="7">
        <v>0</v>
      </c>
      <c r="H68" s="7">
        <f>G68*1.055</f>
        <v>0</v>
      </c>
    </row>
    <row r="69" spans="1:10" ht="17.25" customHeight="1">
      <c r="A69" s="119" t="s">
        <v>35</v>
      </c>
      <c r="B69" s="20"/>
      <c r="C69" s="121" t="s">
        <v>23</v>
      </c>
      <c r="D69" s="121" t="s">
        <v>19</v>
      </c>
      <c r="E69" s="5">
        <f t="shared" si="3"/>
        <v>3943.951</v>
      </c>
      <c r="F69" s="5">
        <f>SUM(F70:F71)</f>
        <v>3943.951</v>
      </c>
      <c r="G69" s="5">
        <f>SUM(G70)</f>
        <v>0</v>
      </c>
      <c r="H69" s="5">
        <f>SUM(H70)</f>
        <v>0</v>
      </c>
      <c r="J69" s="113">
        <f>SUM(J70:J71)</f>
        <v>-5.832000000000001</v>
      </c>
    </row>
    <row r="70" spans="1:10" ht="52.5" customHeight="1">
      <c r="A70" s="128"/>
      <c r="B70" s="20" t="s">
        <v>49</v>
      </c>
      <c r="C70" s="125"/>
      <c r="D70" s="125"/>
      <c r="E70" s="7">
        <f t="shared" si="3"/>
        <v>3872.345</v>
      </c>
      <c r="F70" s="7">
        <f>3949.783-54.489-22.949</f>
        <v>3872.345</v>
      </c>
      <c r="G70" s="7">
        <v>0</v>
      </c>
      <c r="H70" s="7">
        <f>G70*1.055</f>
        <v>0</v>
      </c>
      <c r="J70" s="108">
        <v>-22.949</v>
      </c>
    </row>
    <row r="71" spans="1:10" ht="66.75" customHeight="1">
      <c r="A71" s="63"/>
      <c r="B71" s="20" t="s">
        <v>81</v>
      </c>
      <c r="C71" s="122"/>
      <c r="D71" s="122"/>
      <c r="E71" s="7">
        <f t="shared" si="3"/>
        <v>71.606</v>
      </c>
      <c r="F71" s="7">
        <f>54.489+17.117</f>
        <v>71.606</v>
      </c>
      <c r="G71" s="7">
        <v>0</v>
      </c>
      <c r="H71" s="7">
        <f>G71*1.055</f>
        <v>0</v>
      </c>
      <c r="J71" s="108">
        <v>17.117</v>
      </c>
    </row>
    <row r="72" spans="1:10" ht="18.75" customHeight="1">
      <c r="A72" s="119" t="s">
        <v>35</v>
      </c>
      <c r="B72" s="20"/>
      <c r="C72" s="121" t="s">
        <v>24</v>
      </c>
      <c r="D72" s="121" t="s">
        <v>19</v>
      </c>
      <c r="E72" s="5">
        <f t="shared" si="3"/>
        <v>2710.2829999999994</v>
      </c>
      <c r="F72" s="5">
        <f>SUM(F73:F74)</f>
        <v>2710.2829999999994</v>
      </c>
      <c r="G72" s="5">
        <f>SUM(G73:G74)</f>
        <v>0</v>
      </c>
      <c r="H72" s="5">
        <f>SUM(H73:H74)</f>
        <v>0</v>
      </c>
      <c r="J72" s="113">
        <f>SUM(J73:J74)</f>
        <v>10.479</v>
      </c>
    </row>
    <row r="73" spans="1:10" ht="52.5" customHeight="1">
      <c r="A73" s="128"/>
      <c r="B73" s="20" t="s">
        <v>49</v>
      </c>
      <c r="C73" s="125"/>
      <c r="D73" s="125"/>
      <c r="E73" s="7">
        <f t="shared" si="3"/>
        <v>2660.6969999999997</v>
      </c>
      <c r="F73" s="7">
        <f>2749.802-67.068-49.998+27.961</f>
        <v>2660.6969999999997</v>
      </c>
      <c r="G73" s="7">
        <v>0</v>
      </c>
      <c r="H73" s="7">
        <f>G73*1.055</f>
        <v>0</v>
      </c>
      <c r="J73" s="108">
        <v>27.961</v>
      </c>
    </row>
    <row r="74" spans="1:10" ht="66.75" customHeight="1">
      <c r="A74" s="120"/>
      <c r="B74" s="20" t="s">
        <v>81</v>
      </c>
      <c r="C74" s="122"/>
      <c r="D74" s="122"/>
      <c r="E74" s="7">
        <f>F74+G74+H74</f>
        <v>49.586</v>
      </c>
      <c r="F74" s="7">
        <f>67.068-17.482</f>
        <v>49.586</v>
      </c>
      <c r="G74" s="7">
        <v>0</v>
      </c>
      <c r="H74" s="7">
        <f>G74*1.055</f>
        <v>0</v>
      </c>
      <c r="J74" s="108">
        <v>-17.482</v>
      </c>
    </row>
    <row r="75" spans="1:8" ht="21.75" customHeight="1">
      <c r="A75" s="126" t="s">
        <v>35</v>
      </c>
      <c r="B75" s="20"/>
      <c r="C75" s="127" t="s">
        <v>25</v>
      </c>
      <c r="D75" s="121" t="s">
        <v>19</v>
      </c>
      <c r="E75" s="5">
        <f t="shared" si="3"/>
        <v>1624.12</v>
      </c>
      <c r="F75" s="5">
        <f>SUM(F76)</f>
        <v>1624.12</v>
      </c>
      <c r="G75" s="5">
        <f>SUM(G76)</f>
        <v>0</v>
      </c>
      <c r="H75" s="5">
        <f>SUM(H76)</f>
        <v>0</v>
      </c>
    </row>
    <row r="76" spans="1:8" ht="52.5" customHeight="1">
      <c r="A76" s="126"/>
      <c r="B76" s="20" t="s">
        <v>49</v>
      </c>
      <c r="C76" s="127"/>
      <c r="D76" s="122"/>
      <c r="E76" s="7">
        <f t="shared" si="3"/>
        <v>1624.12</v>
      </c>
      <c r="F76" s="7">
        <f>1666.639-42.519</f>
        <v>1624.12</v>
      </c>
      <c r="G76" s="7">
        <v>0</v>
      </c>
      <c r="H76" s="7">
        <f>G76*1.055</f>
        <v>0</v>
      </c>
    </row>
    <row r="77" spans="1:10" s="4" customFormat="1" ht="12.75">
      <c r="A77" s="130" t="s">
        <v>138</v>
      </c>
      <c r="B77" s="131"/>
      <c r="C77" s="131"/>
      <c r="D77" s="131"/>
      <c r="E77" s="131"/>
      <c r="F77" s="131"/>
      <c r="G77" s="131"/>
      <c r="H77" s="132"/>
      <c r="J77" s="110"/>
    </row>
    <row r="78" spans="1:10" s="4" customFormat="1" ht="12.75">
      <c r="A78" s="119" t="s">
        <v>139</v>
      </c>
      <c r="B78" s="6"/>
      <c r="C78" s="123" t="s">
        <v>90</v>
      </c>
      <c r="D78" s="121" t="s">
        <v>19</v>
      </c>
      <c r="E78" s="5">
        <f>F78+G78+H78</f>
        <v>5884.705</v>
      </c>
      <c r="F78" s="5">
        <f>SUM(F79:F79)</f>
        <v>5884.705</v>
      </c>
      <c r="G78" s="5">
        <f>SUM(G79:G79)</f>
        <v>0</v>
      </c>
      <c r="H78" s="5">
        <f>SUM(H79:H79)</f>
        <v>0</v>
      </c>
      <c r="J78" s="110"/>
    </row>
    <row r="79" spans="1:10" s="4" customFormat="1" ht="42" customHeight="1">
      <c r="A79" s="128"/>
      <c r="B79" s="6" t="s">
        <v>149</v>
      </c>
      <c r="C79" s="124"/>
      <c r="D79" s="122"/>
      <c r="E79" s="7">
        <f>F79+G79+H79</f>
        <v>5884.705</v>
      </c>
      <c r="F79" s="7">
        <v>5884.705</v>
      </c>
      <c r="G79" s="5"/>
      <c r="H79" s="5"/>
      <c r="J79" s="110"/>
    </row>
    <row r="80" spans="1:8" ht="12.75">
      <c r="A80" s="130" t="s">
        <v>116</v>
      </c>
      <c r="B80" s="131"/>
      <c r="C80" s="131"/>
      <c r="D80" s="131"/>
      <c r="E80" s="131"/>
      <c r="F80" s="131"/>
      <c r="G80" s="131"/>
      <c r="H80" s="132"/>
    </row>
    <row r="81" spans="1:8" ht="14.25" customHeight="1">
      <c r="A81" s="119" t="s">
        <v>117</v>
      </c>
      <c r="B81" s="20"/>
      <c r="C81" s="127" t="s">
        <v>90</v>
      </c>
      <c r="D81" s="127" t="s">
        <v>19</v>
      </c>
      <c r="E81" s="5">
        <f>F81+G81+H81</f>
        <v>4718.8</v>
      </c>
      <c r="F81" s="5">
        <f>F82</f>
        <v>4718.8</v>
      </c>
      <c r="G81" s="5">
        <f>G82</f>
        <v>0</v>
      </c>
      <c r="H81" s="5">
        <f>H82</f>
        <v>0</v>
      </c>
    </row>
    <row r="82" spans="1:8" ht="40.5" customHeight="1">
      <c r="A82" s="120"/>
      <c r="B82" s="20" t="s">
        <v>118</v>
      </c>
      <c r="C82" s="127"/>
      <c r="D82" s="127"/>
      <c r="E82" s="7">
        <f>F82+G82+H82</f>
        <v>4718.8</v>
      </c>
      <c r="F82" s="7">
        <f>8536.457-3960.25+142.593</f>
        <v>4718.8</v>
      </c>
      <c r="G82" s="7"/>
      <c r="H82" s="7"/>
    </row>
    <row r="83" spans="1:10" s="4" customFormat="1" ht="12.75">
      <c r="A83" s="130" t="s">
        <v>34</v>
      </c>
      <c r="B83" s="131"/>
      <c r="C83" s="131"/>
      <c r="D83" s="131"/>
      <c r="E83" s="131"/>
      <c r="F83" s="131"/>
      <c r="G83" s="131"/>
      <c r="H83" s="132"/>
      <c r="J83" s="110"/>
    </row>
    <row r="84" spans="1:10" s="4" customFormat="1" ht="12.75" customHeight="1">
      <c r="A84" s="119" t="s">
        <v>36</v>
      </c>
      <c r="B84" s="14"/>
      <c r="C84" s="121" t="s">
        <v>90</v>
      </c>
      <c r="D84" s="28" t="s">
        <v>19</v>
      </c>
      <c r="E84" s="5">
        <f>E85+E86</f>
        <v>151799.406</v>
      </c>
      <c r="F84" s="5">
        <f>F85+F86</f>
        <v>90601.564</v>
      </c>
      <c r="G84" s="5">
        <f>G85+G86</f>
        <v>31205.939</v>
      </c>
      <c r="H84" s="5">
        <f>H85+H86</f>
        <v>29991.903</v>
      </c>
      <c r="J84" s="111"/>
    </row>
    <row r="85" spans="1:10" s="4" customFormat="1" ht="38.25">
      <c r="A85" s="128"/>
      <c r="B85" s="6" t="s">
        <v>44</v>
      </c>
      <c r="C85" s="125"/>
      <c r="D85" s="80"/>
      <c r="E85" s="7">
        <f>F85+G85+H85</f>
        <v>120284.593</v>
      </c>
      <c r="F85" s="7">
        <f>18246.257+22096.565+20289.461+3620.619-8719.162+27.011+395.828-4324.804-1942.7+209.076+9188.6</f>
        <v>59086.751</v>
      </c>
      <c r="G85" s="7">
        <f>16527.069+7168.986+7509.884</f>
        <v>31205.939</v>
      </c>
      <c r="H85" s="7">
        <f>16527.068+13464.835</f>
        <v>29991.903</v>
      </c>
      <c r="J85" s="111"/>
    </row>
    <row r="86" spans="1:10" s="4" customFormat="1" ht="51">
      <c r="A86" s="128"/>
      <c r="B86" s="6" t="s">
        <v>83</v>
      </c>
      <c r="C86" s="80"/>
      <c r="D86" s="80"/>
      <c r="E86" s="7">
        <f>F86+G86+H86</f>
        <v>31514.813000000002</v>
      </c>
      <c r="F86" s="7">
        <f>SUM(F87:F90)</f>
        <v>31514.813000000002</v>
      </c>
      <c r="G86" s="7"/>
      <c r="H86" s="7"/>
      <c r="J86" s="111"/>
    </row>
    <row r="87" spans="1:10" s="4" customFormat="1" ht="24">
      <c r="A87" s="128"/>
      <c r="B87" s="44" t="s">
        <v>136</v>
      </c>
      <c r="C87" s="80"/>
      <c r="D87" s="80"/>
      <c r="E87" s="51">
        <f>F87</f>
        <v>606.3</v>
      </c>
      <c r="F87" s="51">
        <f>606.3</f>
        <v>606.3</v>
      </c>
      <c r="G87" s="76"/>
      <c r="H87" s="76"/>
      <c r="J87" s="111"/>
    </row>
    <row r="88" spans="1:10" s="4" customFormat="1" ht="24">
      <c r="A88" s="128"/>
      <c r="B88" s="44" t="s">
        <v>142</v>
      </c>
      <c r="C88" s="80"/>
      <c r="D88" s="80"/>
      <c r="E88" s="51">
        <f>F88</f>
        <v>9845.348</v>
      </c>
      <c r="F88" s="51">
        <f>5724+4449-327.652</f>
        <v>9845.348</v>
      </c>
      <c r="G88" s="76"/>
      <c r="H88" s="76"/>
      <c r="J88" s="111"/>
    </row>
    <row r="89" spans="1:10" s="30" customFormat="1" ht="24">
      <c r="A89" s="128"/>
      <c r="B89" s="44" t="s">
        <v>84</v>
      </c>
      <c r="C89" s="80"/>
      <c r="D89" s="80"/>
      <c r="E89" s="51">
        <f>F89</f>
        <v>11305.900000000001</v>
      </c>
      <c r="F89" s="51">
        <f>9763.2+1542.7</f>
        <v>11305.900000000001</v>
      </c>
      <c r="G89" s="62"/>
      <c r="H89" s="62"/>
      <c r="I89" s="4"/>
      <c r="J89" s="111"/>
    </row>
    <row r="90" spans="1:10" s="30" customFormat="1" ht="14.25" customHeight="1">
      <c r="A90" s="128"/>
      <c r="B90" s="44" t="s">
        <v>92</v>
      </c>
      <c r="C90" s="82"/>
      <c r="D90" s="82"/>
      <c r="E90" s="51">
        <f>F90</f>
        <v>9757.265000000001</v>
      </c>
      <c r="F90" s="51">
        <f>9892.227-134.962</f>
        <v>9757.265000000001</v>
      </c>
      <c r="G90" s="62"/>
      <c r="H90" s="62"/>
      <c r="J90" s="114"/>
    </row>
    <row r="91" spans="1:10" s="4" customFormat="1" ht="12.75">
      <c r="A91" s="130" t="s">
        <v>131</v>
      </c>
      <c r="B91" s="131"/>
      <c r="C91" s="131"/>
      <c r="D91" s="131"/>
      <c r="E91" s="131"/>
      <c r="F91" s="131"/>
      <c r="G91" s="131"/>
      <c r="H91" s="132"/>
      <c r="J91" s="110"/>
    </row>
    <row r="92" spans="1:10" s="4" customFormat="1" ht="12.75">
      <c r="A92" s="119" t="s">
        <v>132</v>
      </c>
      <c r="B92" s="6"/>
      <c r="C92" s="123" t="s">
        <v>90</v>
      </c>
      <c r="D92" s="121" t="s">
        <v>19</v>
      </c>
      <c r="E92" s="5">
        <f>F92+G92+H92</f>
        <v>687.275</v>
      </c>
      <c r="F92" s="5">
        <f>SUM(F93:F93)</f>
        <v>687.275</v>
      </c>
      <c r="G92" s="5">
        <f>SUM(G93:G93)</f>
        <v>0</v>
      </c>
      <c r="H92" s="5">
        <f>SUM(H93:H93)</f>
        <v>0</v>
      </c>
      <c r="J92" s="110"/>
    </row>
    <row r="93" spans="1:10" s="4" customFormat="1" ht="42" customHeight="1">
      <c r="A93" s="128"/>
      <c r="B93" s="6" t="s">
        <v>133</v>
      </c>
      <c r="C93" s="124"/>
      <c r="D93" s="122"/>
      <c r="E93" s="7">
        <f>F93+G93+H93</f>
        <v>687.275</v>
      </c>
      <c r="F93" s="7">
        <v>687.275</v>
      </c>
      <c r="G93" s="5"/>
      <c r="H93" s="5"/>
      <c r="J93" s="110"/>
    </row>
    <row r="94" spans="1:8" ht="12.75" customHeight="1">
      <c r="A94" s="130" t="s">
        <v>70</v>
      </c>
      <c r="B94" s="131"/>
      <c r="C94" s="131"/>
      <c r="D94" s="131"/>
      <c r="E94" s="131"/>
      <c r="F94" s="131"/>
      <c r="G94" s="131"/>
      <c r="H94" s="132"/>
    </row>
    <row r="95" spans="1:8" ht="12.75" customHeight="1">
      <c r="A95" s="119" t="s">
        <v>122</v>
      </c>
      <c r="B95" s="16"/>
      <c r="C95" s="121" t="s">
        <v>90</v>
      </c>
      <c r="D95" s="121" t="s">
        <v>19</v>
      </c>
      <c r="E95" s="5">
        <f>F95+G95+H95</f>
        <v>337322.256</v>
      </c>
      <c r="F95" s="5">
        <f>SUM(F96:F97)</f>
        <v>337322.256</v>
      </c>
      <c r="G95" s="5">
        <f>SUM(G96:G96)</f>
        <v>0</v>
      </c>
      <c r="H95" s="5">
        <f>SUM(H96:H96)</f>
        <v>0</v>
      </c>
    </row>
    <row r="96" spans="1:8" ht="51">
      <c r="A96" s="128"/>
      <c r="B96" s="6" t="s">
        <v>108</v>
      </c>
      <c r="C96" s="122"/>
      <c r="D96" s="122"/>
      <c r="E96" s="7">
        <f>F96+G96+H96</f>
        <v>337019.395</v>
      </c>
      <c r="F96" s="7">
        <f>400000-30000-22400+123.504-10978.885+274.776</f>
        <v>337019.395</v>
      </c>
      <c r="G96" s="7"/>
      <c r="H96" s="7"/>
    </row>
    <row r="97" spans="1:8" ht="53.25" customHeight="1">
      <c r="A97" s="120"/>
      <c r="B97" s="22" t="s">
        <v>108</v>
      </c>
      <c r="C97" s="14" t="s">
        <v>69</v>
      </c>
      <c r="D97" s="52" t="s">
        <v>19</v>
      </c>
      <c r="E97" s="7">
        <f>F97+G97+H97</f>
        <v>302.861</v>
      </c>
      <c r="F97" s="7">
        <v>302.861</v>
      </c>
      <c r="G97" s="7"/>
      <c r="H97" s="7"/>
    </row>
    <row r="98" spans="1:8" ht="12.75" customHeight="1" hidden="1">
      <c r="A98" s="130" t="s">
        <v>152</v>
      </c>
      <c r="B98" s="131"/>
      <c r="C98" s="131"/>
      <c r="D98" s="131"/>
      <c r="E98" s="131"/>
      <c r="F98" s="131"/>
      <c r="G98" s="131"/>
      <c r="H98" s="132"/>
    </row>
    <row r="99" spans="1:8" ht="12.75" customHeight="1" hidden="1">
      <c r="A99" s="119" t="s">
        <v>153</v>
      </c>
      <c r="B99" s="16"/>
      <c r="C99" s="121" t="s">
        <v>90</v>
      </c>
      <c r="D99" s="121" t="s">
        <v>19</v>
      </c>
      <c r="E99" s="5">
        <f>F99+G99+H99</f>
        <v>0</v>
      </c>
      <c r="F99" s="5">
        <f>SUM(F100:F101)</f>
        <v>0</v>
      </c>
      <c r="G99" s="5">
        <f>SUM(G100:G100)</f>
        <v>0</v>
      </c>
      <c r="H99" s="5">
        <f>SUM(H100:H100)</f>
        <v>0</v>
      </c>
    </row>
    <row r="100" spans="1:8" ht="51.75" customHeight="1" hidden="1">
      <c r="A100" s="120"/>
      <c r="B100" s="6" t="s">
        <v>154</v>
      </c>
      <c r="C100" s="122"/>
      <c r="D100" s="122"/>
      <c r="E100" s="7">
        <f>F100+G100+H100</f>
        <v>0</v>
      </c>
      <c r="F100" s="7">
        <f>391.526-391.526</f>
        <v>0</v>
      </c>
      <c r="G100" s="7"/>
      <c r="H100" s="7"/>
    </row>
    <row r="101" spans="1:8" ht="12.75" customHeight="1">
      <c r="A101" s="134" t="s">
        <v>77</v>
      </c>
      <c r="B101" s="134"/>
      <c r="C101" s="134"/>
      <c r="D101" s="134"/>
      <c r="E101" s="134"/>
      <c r="F101" s="134"/>
      <c r="G101" s="134"/>
      <c r="H101" s="134"/>
    </row>
    <row r="102" spans="1:8" ht="13.5" customHeight="1">
      <c r="A102" s="119" t="s">
        <v>128</v>
      </c>
      <c r="B102" s="6"/>
      <c r="C102" s="121" t="s">
        <v>90</v>
      </c>
      <c r="D102" s="121" t="s">
        <v>19</v>
      </c>
      <c r="E102" s="5">
        <f>F102+G102+H102</f>
        <v>776.7804049151999</v>
      </c>
      <c r="F102" s="5">
        <f>SUM(F103:F105)</f>
        <v>443.74199999999996</v>
      </c>
      <c r="G102" s="5">
        <f>G103</f>
        <v>162.29941759999997</v>
      </c>
      <c r="H102" s="5">
        <f>H103</f>
        <v>170.73898731519998</v>
      </c>
    </row>
    <row r="103" spans="1:8" ht="38.25" customHeight="1">
      <c r="A103" s="128"/>
      <c r="B103" s="71" t="s">
        <v>71</v>
      </c>
      <c r="C103" s="125"/>
      <c r="D103" s="125"/>
      <c r="E103" s="7">
        <f>F103+G103+H103</f>
        <v>484.89040491519995</v>
      </c>
      <c r="F103" s="7">
        <f>133.652-27+45.2</f>
        <v>151.85199999999998</v>
      </c>
      <c r="G103" s="7">
        <f>F103*Лист1!$B$3</f>
        <v>162.29941759999997</v>
      </c>
      <c r="H103" s="7">
        <f>G103*Лист1!$C$3</f>
        <v>170.73898731519998</v>
      </c>
    </row>
    <row r="104" spans="1:8" ht="51" customHeight="1">
      <c r="A104" s="128"/>
      <c r="B104" s="72" t="s">
        <v>124</v>
      </c>
      <c r="C104" s="125"/>
      <c r="D104" s="29"/>
      <c r="E104" s="7">
        <f>F104+G104+H104</f>
        <v>245.332</v>
      </c>
      <c r="F104" s="67">
        <v>245.332</v>
      </c>
      <c r="G104" s="7"/>
      <c r="H104" s="7"/>
    </row>
    <row r="105" spans="1:8" ht="36">
      <c r="A105" s="120"/>
      <c r="B105" s="72" t="s">
        <v>125</v>
      </c>
      <c r="C105" s="122"/>
      <c r="D105" s="53"/>
      <c r="E105" s="7">
        <f>F105+G105+H105</f>
        <v>46.558</v>
      </c>
      <c r="F105" s="67">
        <v>46.558</v>
      </c>
      <c r="G105" s="7"/>
      <c r="H105" s="7"/>
    </row>
    <row r="106" spans="1:8" ht="12.75">
      <c r="A106" s="116" t="s">
        <v>159</v>
      </c>
      <c r="B106" s="117"/>
      <c r="C106" s="117"/>
      <c r="D106" s="117"/>
      <c r="E106" s="117"/>
      <c r="F106" s="117"/>
      <c r="G106" s="117"/>
      <c r="H106" s="118"/>
    </row>
    <row r="107" spans="1:8" ht="12" customHeight="1">
      <c r="A107" s="119" t="s">
        <v>157</v>
      </c>
      <c r="B107" s="94"/>
      <c r="C107" s="121" t="s">
        <v>90</v>
      </c>
      <c r="D107" s="121" t="s">
        <v>11</v>
      </c>
      <c r="E107" s="5">
        <f>E108</f>
        <v>1702.65</v>
      </c>
      <c r="F107" s="5">
        <f>F108</f>
        <v>1702.65</v>
      </c>
      <c r="G107" s="7"/>
      <c r="H107" s="7"/>
    </row>
    <row r="108" spans="1:8" ht="44.25" customHeight="1">
      <c r="A108" s="120"/>
      <c r="B108" s="94" t="s">
        <v>158</v>
      </c>
      <c r="C108" s="122"/>
      <c r="D108" s="122"/>
      <c r="E108" s="7">
        <f>F108</f>
        <v>1702.65</v>
      </c>
      <c r="F108" s="101">
        <v>1702.65</v>
      </c>
      <c r="G108" s="7"/>
      <c r="H108" s="7"/>
    </row>
    <row r="109" spans="1:8" ht="12.75">
      <c r="A109" s="23" t="s">
        <v>37</v>
      </c>
      <c r="B109" s="23"/>
      <c r="C109" s="16"/>
      <c r="D109" s="16"/>
      <c r="E109" s="5">
        <f>E102+E95+E84+E81+E75+E72+E69+E66+E63+E60+E58+E40+E20+E92+E78+E99+E107</f>
        <v>2330834.359423206</v>
      </c>
      <c r="F109" s="5">
        <f>F102+F95+F84+F81+F75+F72+F69+F66+F63+F60+F58+F40+F20+F92+F78+F99+F107</f>
        <v>976147.1349999999</v>
      </c>
      <c r="G109" s="5">
        <f>G102+G95+G84+G81+G75+G72+G69+G66+G63+G60+G58+G40+G20+G92+G78+G99+G107</f>
        <v>651500.1763232</v>
      </c>
      <c r="H109" s="5">
        <f>H102+H95+H84+H81+H75+H72+H69+H66+H63+H60+H58+H40+H20+H92+H78+H99+H107</f>
        <v>703560.9001000064</v>
      </c>
    </row>
    <row r="110" spans="1:10" s="8" customFormat="1" ht="20.25">
      <c r="A110" s="24"/>
      <c r="B110" s="24"/>
      <c r="C110" s="24"/>
      <c r="D110" s="24"/>
      <c r="E110" s="24"/>
      <c r="F110" s="24"/>
      <c r="G110" s="24"/>
      <c r="H110" s="24"/>
      <c r="J110" s="109"/>
    </row>
    <row r="111" spans="1:10" s="8" customFormat="1" ht="18.75">
      <c r="A111" s="133" t="s">
        <v>38</v>
      </c>
      <c r="B111" s="133"/>
      <c r="C111" s="9"/>
      <c r="D111" s="9"/>
      <c r="E111" s="9"/>
      <c r="F111" s="26"/>
      <c r="G111" s="133" t="s">
        <v>47</v>
      </c>
      <c r="H111" s="133"/>
      <c r="J111" s="109"/>
    </row>
    <row r="112" ht="12.75">
      <c r="F112" s="27"/>
    </row>
    <row r="113" ht="12.75">
      <c r="F113" s="27"/>
    </row>
    <row r="114" ht="12.75">
      <c r="F114" s="27"/>
    </row>
    <row r="115" spans="5:9" ht="12.75">
      <c r="E115" s="102">
        <v>42856</v>
      </c>
      <c r="F115" s="103">
        <v>969935.0489999998</v>
      </c>
      <c r="G115" s="98"/>
      <c r="H115" s="96"/>
      <c r="I115" s="99"/>
    </row>
    <row r="116" spans="5:8" ht="12.75">
      <c r="E116" s="104"/>
      <c r="F116" s="105">
        <f>F109-F115</f>
        <v>6212.086000000127</v>
      </c>
      <c r="G116" s="98"/>
      <c r="H116" s="96"/>
    </row>
    <row r="117" spans="5:8" ht="12.75">
      <c r="E117" s="104"/>
      <c r="F117" s="103">
        <v>-391.526</v>
      </c>
      <c r="G117" s="98"/>
      <c r="H117" s="96"/>
    </row>
    <row r="118" spans="5:8" ht="12.75">
      <c r="E118" s="106"/>
      <c r="F118" s="107"/>
      <c r="G118" s="1"/>
      <c r="H118" s="1"/>
    </row>
    <row r="119" spans="5:8" ht="12.75">
      <c r="E119" s="98"/>
      <c r="F119" s="96"/>
      <c r="G119" s="1"/>
      <c r="H119" s="1"/>
    </row>
    <row r="120" spans="6:8" ht="12.75">
      <c r="F120" s="27"/>
      <c r="G120" s="97"/>
      <c r="H120" s="96"/>
    </row>
    <row r="121" spans="7:8" ht="12.75">
      <c r="G121" s="97"/>
      <c r="H121" s="96"/>
    </row>
    <row r="122" ht="12.75">
      <c r="F122" s="27"/>
    </row>
    <row r="127" ht="12.75">
      <c r="F127" s="27"/>
    </row>
  </sheetData>
  <sheetProtection/>
  <mergeCells count="73">
    <mergeCell ref="A98:H98"/>
    <mergeCell ref="A39:H39"/>
    <mergeCell ref="A12:H12"/>
    <mergeCell ref="B15:B17"/>
    <mergeCell ref="A84:A90"/>
    <mergeCell ref="D72:D74"/>
    <mergeCell ref="A20:A21"/>
    <mergeCell ref="A40:A41"/>
    <mergeCell ref="C69:C71"/>
    <mergeCell ref="A58:A59"/>
    <mergeCell ref="F16:H16"/>
    <mergeCell ref="C20:C22"/>
    <mergeCell ref="C40:C41"/>
    <mergeCell ref="E15:H15"/>
    <mergeCell ref="F5:H5"/>
    <mergeCell ref="F6:H6"/>
    <mergeCell ref="F7:H7"/>
    <mergeCell ref="A13:H13"/>
    <mergeCell ref="A15:A17"/>
    <mergeCell ref="E16:E17"/>
    <mergeCell ref="F9:H9"/>
    <mergeCell ref="F10:H10"/>
    <mergeCell ref="D63:D65"/>
    <mergeCell ref="C60:C61"/>
    <mergeCell ref="C58:C59"/>
    <mergeCell ref="C15:C17"/>
    <mergeCell ref="A69:A70"/>
    <mergeCell ref="C84:C85"/>
    <mergeCell ref="A72:A74"/>
    <mergeCell ref="C72:C74"/>
    <mergeCell ref="A77:H77"/>
    <mergeCell ref="D81:D82"/>
    <mergeCell ref="A81:A82"/>
    <mergeCell ref="A78:A79"/>
    <mergeCell ref="A111:B111"/>
    <mergeCell ref="G111:H111"/>
    <mergeCell ref="A101:H101"/>
    <mergeCell ref="C81:C82"/>
    <mergeCell ref="A95:A97"/>
    <mergeCell ref="A94:H94"/>
    <mergeCell ref="C102:C105"/>
    <mergeCell ref="A102:A105"/>
    <mergeCell ref="A91:H91"/>
    <mergeCell ref="D92:D93"/>
    <mergeCell ref="C75:C76"/>
    <mergeCell ref="D75:D76"/>
    <mergeCell ref="A92:A93"/>
    <mergeCell ref="C92:C93"/>
    <mergeCell ref="C95:C96"/>
    <mergeCell ref="A75:A76"/>
    <mergeCell ref="D95:D96"/>
    <mergeCell ref="A80:H80"/>
    <mergeCell ref="A83:H83"/>
    <mergeCell ref="A63:A65"/>
    <mergeCell ref="D58:D59"/>
    <mergeCell ref="A60:A62"/>
    <mergeCell ref="D15:D17"/>
    <mergeCell ref="D69:D71"/>
    <mergeCell ref="C63:C65"/>
    <mergeCell ref="A19:H19"/>
    <mergeCell ref="A66:A67"/>
    <mergeCell ref="C66:C67"/>
    <mergeCell ref="D66:D67"/>
    <mergeCell ref="A106:H106"/>
    <mergeCell ref="A107:A108"/>
    <mergeCell ref="C107:C108"/>
    <mergeCell ref="D107:D108"/>
    <mergeCell ref="C78:C79"/>
    <mergeCell ref="D78:D79"/>
    <mergeCell ref="D102:D103"/>
    <mergeCell ref="C99:C100"/>
    <mergeCell ref="D99:D100"/>
    <mergeCell ref="A99:A100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8" r:id="rId1"/>
  <headerFooter differentFirst="1">
    <oddHeader>&amp;C&amp;P</oddHeader>
  </headerFooter>
  <rowBreaks count="3" manualBreakCount="3">
    <brk id="59" max="7" man="1"/>
    <brk id="71" max="7" man="1"/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33FF"/>
  </sheetPr>
  <dimension ref="A5:F27"/>
  <sheetViews>
    <sheetView view="pageBreakPreview" zoomScaleSheetLayoutView="100" zoomScalePageLayoutView="0" workbookViewId="0" topLeftCell="A8">
      <selection activeCell="A13" sqref="A13:E13"/>
    </sheetView>
  </sheetViews>
  <sheetFormatPr defaultColWidth="9.140625" defaultRowHeight="12.75"/>
  <cols>
    <col min="1" max="1" width="46.00390625" style="11" customWidth="1"/>
    <col min="2" max="2" width="23.57421875" style="11" customWidth="1"/>
    <col min="3" max="3" width="18.00390625" style="11" customWidth="1"/>
    <col min="4" max="4" width="19.57421875" style="11" customWidth="1"/>
    <col min="5" max="5" width="18.140625" style="11" customWidth="1"/>
    <col min="6" max="6" width="9.57421875" style="11" bestFit="1" customWidth="1"/>
    <col min="7" max="16384" width="9.140625" style="11" customWidth="1"/>
  </cols>
  <sheetData>
    <row r="5" spans="4:5" ht="18.75" hidden="1">
      <c r="D5" s="133" t="s">
        <v>45</v>
      </c>
      <c r="E5" s="133"/>
    </row>
    <row r="6" spans="4:5" ht="18.75" hidden="1">
      <c r="D6" s="133" t="s">
        <v>46</v>
      </c>
      <c r="E6" s="133"/>
    </row>
    <row r="7" spans="4:5" ht="18.75" hidden="1">
      <c r="D7" s="86" t="s">
        <v>94</v>
      </c>
      <c r="E7" s="47"/>
    </row>
    <row r="9" spans="4:6" ht="18.75" customHeight="1">
      <c r="D9" s="10" t="s">
        <v>18</v>
      </c>
      <c r="E9" s="10"/>
      <c r="F9" s="8"/>
    </row>
    <row r="10" spans="4:6" ht="94.5" customHeight="1">
      <c r="D10" s="139" t="s">
        <v>110</v>
      </c>
      <c r="E10" s="139"/>
      <c r="F10" s="8"/>
    </row>
    <row r="12" spans="1:5" s="10" customFormat="1" ht="18.75">
      <c r="A12" s="140" t="s">
        <v>21</v>
      </c>
      <c r="B12" s="140"/>
      <c r="C12" s="140"/>
      <c r="D12" s="140"/>
      <c r="E12" s="140"/>
    </row>
    <row r="13" spans="1:5" s="10" customFormat="1" ht="18.75" customHeight="1">
      <c r="A13" s="141" t="s">
        <v>98</v>
      </c>
      <c r="B13" s="141"/>
      <c r="C13" s="141"/>
      <c r="D13" s="141"/>
      <c r="E13" s="141"/>
    </row>
    <row r="14" spans="1:5" ht="12.75">
      <c r="A14" s="4"/>
      <c r="B14" s="4"/>
      <c r="C14" s="4"/>
      <c r="D14" s="4"/>
      <c r="E14" s="4"/>
    </row>
    <row r="15" spans="1:5" ht="12.75">
      <c r="A15" s="129"/>
      <c r="B15" s="129" t="s">
        <v>8</v>
      </c>
      <c r="C15" s="129" t="s">
        <v>9</v>
      </c>
      <c r="D15" s="129"/>
      <c r="E15" s="129"/>
    </row>
    <row r="16" spans="1:5" ht="12.75">
      <c r="A16" s="129"/>
      <c r="B16" s="129"/>
      <c r="C16" s="3">
        <v>2017</v>
      </c>
      <c r="D16" s="3">
        <v>2018</v>
      </c>
      <c r="E16" s="3">
        <v>2019</v>
      </c>
    </row>
    <row r="17" spans="1:5" s="4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6" ht="12.75">
      <c r="A18" s="12" t="s">
        <v>41</v>
      </c>
      <c r="B18" s="87">
        <f>C18+D18+E18</f>
        <v>2329505.5614232062</v>
      </c>
      <c r="C18" s="87">
        <f>'додаток 1'!F109-C22</f>
        <v>974444.4849999999</v>
      </c>
      <c r="D18" s="87">
        <f>'додаток 1'!G109</f>
        <v>651500.1763232</v>
      </c>
      <c r="E18" s="87">
        <f>'додаток 1'!H109</f>
        <v>703560.9001000064</v>
      </c>
      <c r="F18" s="88"/>
    </row>
    <row r="19" spans="1:6" ht="12.75">
      <c r="A19" s="12" t="s">
        <v>42</v>
      </c>
      <c r="B19" s="87"/>
      <c r="C19" s="87"/>
      <c r="D19" s="87"/>
      <c r="E19" s="87"/>
      <c r="F19" s="88"/>
    </row>
    <row r="20" spans="1:6" s="92" customFormat="1" ht="12.75">
      <c r="A20" s="89" t="s">
        <v>43</v>
      </c>
      <c r="B20" s="90">
        <f>C20+D20+E20</f>
        <v>0</v>
      </c>
      <c r="C20" s="90"/>
      <c r="D20" s="90"/>
      <c r="E20" s="90"/>
      <c r="F20" s="91"/>
    </row>
    <row r="21" spans="1:5" ht="12.75">
      <c r="A21" s="12" t="s">
        <v>10</v>
      </c>
      <c r="B21" s="87">
        <f>C21+D21+E21</f>
        <v>0</v>
      </c>
      <c r="C21" s="87"/>
      <c r="D21" s="87"/>
      <c r="E21" s="87"/>
    </row>
    <row r="22" spans="1:5" ht="12.75">
      <c r="A22" s="12" t="s">
        <v>11</v>
      </c>
      <c r="B22" s="87">
        <f>C22+D22+E22</f>
        <v>1702.65</v>
      </c>
      <c r="C22" s="93">
        <f>'додаток 1'!F108</f>
        <v>1702.65</v>
      </c>
      <c r="D22" s="87"/>
      <c r="E22" s="87"/>
    </row>
    <row r="23" spans="1:5" ht="12.75" customHeight="1">
      <c r="A23" s="12" t="s">
        <v>28</v>
      </c>
      <c r="B23" s="87">
        <f>C23+D23+E23</f>
        <v>0</v>
      </c>
      <c r="C23" s="3"/>
      <c r="D23" s="93"/>
      <c r="E23" s="93"/>
    </row>
    <row r="24" spans="1:5" ht="19.5" customHeight="1">
      <c r="A24" s="12" t="s">
        <v>12</v>
      </c>
      <c r="B24" s="87">
        <f>B18+B21+B22+B23</f>
        <v>2331208.211423206</v>
      </c>
      <c r="C24" s="87">
        <f>C18+C21+C22+C23</f>
        <v>976147.1349999999</v>
      </c>
      <c r="D24" s="87">
        <f>D18+D21+D22+D23</f>
        <v>651500.1763232</v>
      </c>
      <c r="E24" s="87">
        <f>E18+E21+E22+E23</f>
        <v>703560.9001000064</v>
      </c>
    </row>
    <row r="27" spans="1:5" s="10" customFormat="1" ht="18.75">
      <c r="A27" s="10" t="s">
        <v>38</v>
      </c>
      <c r="D27" s="133" t="s">
        <v>47</v>
      </c>
      <c r="E27" s="133"/>
    </row>
  </sheetData>
  <sheetProtection/>
  <mergeCells count="9">
    <mergeCell ref="D5:E5"/>
    <mergeCell ref="D6:E6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scale="10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J130"/>
  <sheetViews>
    <sheetView tabSelected="1" view="pageBreakPreview" zoomScaleSheetLayoutView="100" zoomScalePageLayoutView="70" workbookViewId="0" topLeftCell="A15">
      <selection activeCell="A13" sqref="A13:G13"/>
    </sheetView>
  </sheetViews>
  <sheetFormatPr defaultColWidth="9.140625" defaultRowHeight="12.75"/>
  <cols>
    <col min="1" max="1" width="35.8515625" style="31" customWidth="1"/>
    <col min="2" max="2" width="28.57421875" style="11" customWidth="1"/>
    <col min="3" max="3" width="9.140625" style="4" customWidth="1"/>
    <col min="4" max="4" width="16.421875" style="11" customWidth="1"/>
    <col min="5" max="5" width="16.7109375" style="11" customWidth="1"/>
    <col min="6" max="6" width="15.140625" style="11" customWidth="1"/>
    <col min="7" max="7" width="14.28125" style="11" customWidth="1"/>
    <col min="8" max="8" width="7.00390625" style="11" hidden="1" customWidth="1"/>
    <col min="9" max="16384" width="9.140625" style="11" customWidth="1"/>
  </cols>
  <sheetData>
    <row r="4" ht="12.75" hidden="1"/>
    <row r="5" spans="5:6" ht="18.75" hidden="1">
      <c r="E5" s="133" t="s">
        <v>45</v>
      </c>
      <c r="F5" s="133"/>
    </row>
    <row r="6" spans="5:6" ht="18.75" hidden="1">
      <c r="E6" s="133" t="s">
        <v>46</v>
      </c>
      <c r="F6" s="133"/>
    </row>
    <row r="7" spans="5:6" ht="17.25" customHeight="1" hidden="1">
      <c r="E7" s="159" t="s">
        <v>96</v>
      </c>
      <c r="F7" s="159" t="s">
        <v>93</v>
      </c>
    </row>
    <row r="8" ht="12.75" hidden="1"/>
    <row r="9" spans="1:7" ht="18.75">
      <c r="A9" s="11"/>
      <c r="E9" s="139" t="s">
        <v>27</v>
      </c>
      <c r="F9" s="139"/>
      <c r="G9" s="139"/>
    </row>
    <row r="10" spans="1:7" ht="58.5" customHeight="1">
      <c r="A10" s="11"/>
      <c r="E10" s="139" t="s">
        <v>100</v>
      </c>
      <c r="F10" s="139"/>
      <c r="G10" s="139"/>
    </row>
    <row r="11" ht="9.75" customHeight="1">
      <c r="A11" s="11"/>
    </row>
    <row r="12" spans="1:7" s="10" customFormat="1" ht="18.75">
      <c r="A12" s="140" t="s">
        <v>20</v>
      </c>
      <c r="B12" s="140"/>
      <c r="C12" s="140"/>
      <c r="D12" s="140"/>
      <c r="E12" s="140"/>
      <c r="F12" s="140"/>
      <c r="G12" s="140"/>
    </row>
    <row r="13" spans="1:7" s="10" customFormat="1" ht="18.75" customHeight="1">
      <c r="A13" s="141" t="s">
        <v>101</v>
      </c>
      <c r="B13" s="141"/>
      <c r="C13" s="141"/>
      <c r="D13" s="141"/>
      <c r="E13" s="141"/>
      <c r="F13" s="141"/>
      <c r="G13" s="141"/>
    </row>
    <row r="14" spans="1:7" s="10" customFormat="1" ht="10.5" customHeight="1">
      <c r="A14" s="32"/>
      <c r="B14" s="32"/>
      <c r="C14" s="32"/>
      <c r="D14" s="32"/>
      <c r="E14" s="32"/>
      <c r="F14" s="32"/>
      <c r="G14" s="32"/>
    </row>
    <row r="15" spans="1:7" ht="12.75">
      <c r="A15" s="129" t="s">
        <v>0</v>
      </c>
      <c r="B15" s="129" t="s">
        <v>13</v>
      </c>
      <c r="C15" s="129" t="s">
        <v>14</v>
      </c>
      <c r="D15" s="129" t="s">
        <v>17</v>
      </c>
      <c r="E15" s="129"/>
      <c r="F15" s="129"/>
      <c r="G15" s="129"/>
    </row>
    <row r="16" spans="1:7" ht="12.75">
      <c r="A16" s="129"/>
      <c r="B16" s="129"/>
      <c r="C16" s="129"/>
      <c r="D16" s="129" t="s">
        <v>15</v>
      </c>
      <c r="E16" s="129" t="s">
        <v>16</v>
      </c>
      <c r="F16" s="129"/>
      <c r="G16" s="129"/>
    </row>
    <row r="17" spans="1:7" ht="24" customHeight="1">
      <c r="A17" s="129"/>
      <c r="B17" s="129"/>
      <c r="C17" s="129"/>
      <c r="D17" s="129"/>
      <c r="E17" s="3">
        <v>2017</v>
      </c>
      <c r="F17" s="3">
        <v>2018</v>
      </c>
      <c r="G17" s="3">
        <v>2019</v>
      </c>
    </row>
    <row r="18" spans="1:7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s="4" customFormat="1" ht="12.75">
      <c r="A19" s="134" t="s">
        <v>56</v>
      </c>
      <c r="B19" s="151"/>
      <c r="C19" s="151"/>
      <c r="D19" s="151"/>
      <c r="E19" s="151"/>
      <c r="F19" s="151"/>
      <c r="G19" s="151"/>
    </row>
    <row r="20" spans="1:7" s="4" customFormat="1" ht="12.75">
      <c r="A20" s="127" t="s">
        <v>91</v>
      </c>
      <c r="B20" s="127"/>
      <c r="C20" s="127"/>
      <c r="D20" s="127"/>
      <c r="E20" s="127"/>
      <c r="F20" s="127"/>
      <c r="G20" s="127"/>
    </row>
    <row r="21" spans="1:7" s="4" customFormat="1" ht="20.25" customHeight="1">
      <c r="A21" s="119" t="s">
        <v>57</v>
      </c>
      <c r="B21" s="153" t="s">
        <v>58</v>
      </c>
      <c r="C21" s="14" t="s">
        <v>73</v>
      </c>
      <c r="D21" s="15">
        <f>E21+F21+G21</f>
        <v>1244</v>
      </c>
      <c r="E21" s="14">
        <f>616+17+10+18+15+17+1+2</f>
        <v>696</v>
      </c>
      <c r="F21" s="14">
        <v>268</v>
      </c>
      <c r="G21" s="14">
        <v>280</v>
      </c>
    </row>
    <row r="22" spans="1:7" s="4" customFormat="1" ht="17.25" customHeight="1">
      <c r="A22" s="128"/>
      <c r="B22" s="154"/>
      <c r="C22" s="14" t="s">
        <v>39</v>
      </c>
      <c r="D22" s="7">
        <f aca="true" t="shared" si="0" ref="D22:D39">E22+F22+G22</f>
        <v>3821.9609999999993</v>
      </c>
      <c r="E22" s="33">
        <f>1732.408+8.523</f>
        <v>1740.9309999999998</v>
      </c>
      <c r="F22" s="14">
        <v>1097.866</v>
      </c>
      <c r="G22" s="14">
        <v>983.164</v>
      </c>
    </row>
    <row r="23" spans="1:7" s="4" customFormat="1" ht="25.5">
      <c r="A23" s="128"/>
      <c r="B23" s="6" t="s">
        <v>59</v>
      </c>
      <c r="C23" s="14" t="s">
        <v>39</v>
      </c>
      <c r="D23" s="7">
        <f t="shared" si="0"/>
        <v>592.184</v>
      </c>
      <c r="E23" s="33">
        <v>188.216</v>
      </c>
      <c r="F23" s="14">
        <v>197.418</v>
      </c>
      <c r="G23" s="33">
        <v>206.55</v>
      </c>
    </row>
    <row r="24" spans="1:7" s="4" customFormat="1" ht="25.5">
      <c r="A24" s="128"/>
      <c r="B24" s="6" t="s">
        <v>120</v>
      </c>
      <c r="C24" s="14" t="s">
        <v>74</v>
      </c>
      <c r="D24" s="7">
        <f t="shared" si="0"/>
        <v>399.91999999999996</v>
      </c>
      <c r="E24" s="33">
        <f>140.791+4.482+0.547</f>
        <v>145.82</v>
      </c>
      <c r="F24" s="33">
        <v>115.5</v>
      </c>
      <c r="G24" s="33">
        <v>138.6</v>
      </c>
    </row>
    <row r="25" spans="1:7" s="4" customFormat="1" ht="39.75" customHeight="1">
      <c r="A25" s="128"/>
      <c r="B25" s="6" t="str">
        <f>'додаток 1'!B24</f>
        <v>капітальний ремонт внутрішньобудинкових систем централізованого опалення</v>
      </c>
      <c r="C25" s="14" t="s">
        <v>73</v>
      </c>
      <c r="D25" s="15">
        <f>E25+F25+G25</f>
        <v>646</v>
      </c>
      <c r="E25" s="15">
        <v>646</v>
      </c>
      <c r="F25" s="64">
        <v>0</v>
      </c>
      <c r="G25" s="64">
        <v>0</v>
      </c>
    </row>
    <row r="26" spans="1:7" s="4" customFormat="1" ht="16.5" customHeight="1">
      <c r="A26" s="128"/>
      <c r="B26" s="6" t="s">
        <v>103</v>
      </c>
      <c r="C26" s="14" t="s">
        <v>26</v>
      </c>
      <c r="D26" s="15">
        <f>E26+F26+G26</f>
        <v>270</v>
      </c>
      <c r="E26" s="14">
        <v>137</v>
      </c>
      <c r="F26" s="14">
        <v>72</v>
      </c>
      <c r="G26" s="14">
        <v>61</v>
      </c>
    </row>
    <row r="27" spans="1:9" s="4" customFormat="1" ht="25.5">
      <c r="A27" s="128"/>
      <c r="B27" s="6" t="s">
        <v>135</v>
      </c>
      <c r="C27" s="15" t="s">
        <v>26</v>
      </c>
      <c r="D27" s="15">
        <f>E27+F27+G27</f>
        <v>248</v>
      </c>
      <c r="E27" s="15">
        <v>248</v>
      </c>
      <c r="F27" s="7">
        <v>0</v>
      </c>
      <c r="G27" s="7">
        <v>0</v>
      </c>
      <c r="I27" s="45"/>
    </row>
    <row r="28" spans="1:9" s="4" customFormat="1" ht="25.5">
      <c r="A28" s="128"/>
      <c r="B28" s="22" t="s">
        <v>143</v>
      </c>
      <c r="C28" s="14" t="s">
        <v>48</v>
      </c>
      <c r="D28" s="15">
        <f>E28+F28+G28</f>
        <v>24</v>
      </c>
      <c r="E28" s="14">
        <v>24</v>
      </c>
      <c r="F28" s="14">
        <v>0</v>
      </c>
      <c r="G28" s="14">
        <v>0</v>
      </c>
      <c r="I28" s="45"/>
    </row>
    <row r="29" spans="1:7" s="4" customFormat="1" ht="40.5" customHeight="1">
      <c r="A29" s="128"/>
      <c r="B29" s="61" t="s">
        <v>60</v>
      </c>
      <c r="C29" s="14" t="s">
        <v>26</v>
      </c>
      <c r="D29" s="15">
        <f t="shared" si="0"/>
        <v>796</v>
      </c>
      <c r="E29" s="14">
        <f>200+45+1</f>
        <v>246</v>
      </c>
      <c r="F29" s="14">
        <v>250</v>
      </c>
      <c r="G29" s="14">
        <v>300</v>
      </c>
    </row>
    <row r="30" spans="1:7" s="4" customFormat="1" ht="24.75" customHeight="1">
      <c r="A30" s="128"/>
      <c r="B30" s="21" t="s">
        <v>61</v>
      </c>
      <c r="C30" s="29" t="s">
        <v>26</v>
      </c>
      <c r="D30" s="34">
        <f>E30+F30+G30</f>
        <v>548</v>
      </c>
      <c r="E30" s="53">
        <f>200+48</f>
        <v>248</v>
      </c>
      <c r="F30" s="53">
        <v>180</v>
      </c>
      <c r="G30" s="53">
        <v>120</v>
      </c>
    </row>
    <row r="31" spans="1:7" s="4" customFormat="1" ht="27.75" customHeight="1">
      <c r="A31" s="128"/>
      <c r="B31" s="6" t="s">
        <v>80</v>
      </c>
      <c r="C31" s="14" t="s">
        <v>26</v>
      </c>
      <c r="D31" s="15">
        <f>E31+F31+G31</f>
        <v>27</v>
      </c>
      <c r="E31" s="14">
        <v>10</v>
      </c>
      <c r="F31" s="14">
        <v>10</v>
      </c>
      <c r="G31" s="14">
        <v>7</v>
      </c>
    </row>
    <row r="32" spans="1:7" s="4" customFormat="1" ht="15.75" customHeight="1">
      <c r="A32" s="128"/>
      <c r="B32" s="6" t="s">
        <v>66</v>
      </c>
      <c r="C32" s="14" t="s">
        <v>73</v>
      </c>
      <c r="D32" s="15">
        <f>E32+F32+G32</f>
        <v>4</v>
      </c>
      <c r="E32" s="64">
        <f>3+1</f>
        <v>4</v>
      </c>
      <c r="F32" s="14">
        <v>0</v>
      </c>
      <c r="G32" s="14">
        <v>0</v>
      </c>
    </row>
    <row r="33" spans="1:7" s="4" customFormat="1" ht="16.5" customHeight="1">
      <c r="A33" s="128"/>
      <c r="B33" s="6" t="s">
        <v>62</v>
      </c>
      <c r="C33" s="28" t="s">
        <v>26</v>
      </c>
      <c r="D33" s="15">
        <f t="shared" si="0"/>
        <v>30</v>
      </c>
      <c r="E33" s="14">
        <v>7</v>
      </c>
      <c r="F33" s="14">
        <v>13</v>
      </c>
      <c r="G33" s="14">
        <v>10</v>
      </c>
    </row>
    <row r="34" spans="1:7" s="4" customFormat="1" ht="25.5">
      <c r="A34" s="128"/>
      <c r="B34" s="6" t="s">
        <v>63</v>
      </c>
      <c r="C34" s="14" t="s">
        <v>73</v>
      </c>
      <c r="D34" s="15">
        <f>E34+F34+G34</f>
        <v>238</v>
      </c>
      <c r="E34" s="14">
        <f>71+1+1+1</f>
        <v>74</v>
      </c>
      <c r="F34" s="14">
        <v>78</v>
      </c>
      <c r="G34" s="14">
        <v>86</v>
      </c>
    </row>
    <row r="35" spans="1:7" s="4" customFormat="1" ht="12.75">
      <c r="A35" s="128"/>
      <c r="B35" s="6" t="s">
        <v>64</v>
      </c>
      <c r="C35" s="14" t="s">
        <v>26</v>
      </c>
      <c r="D35" s="15">
        <f t="shared" si="0"/>
        <v>236</v>
      </c>
      <c r="E35" s="15">
        <f>E36</f>
        <v>80</v>
      </c>
      <c r="F35" s="15">
        <f>F36</f>
        <v>78</v>
      </c>
      <c r="G35" s="15">
        <f>G36</f>
        <v>78</v>
      </c>
    </row>
    <row r="36" spans="1:7" s="4" customFormat="1" ht="41.25" customHeight="1">
      <c r="A36" s="128"/>
      <c r="B36" s="18" t="s">
        <v>65</v>
      </c>
      <c r="C36" s="14" t="s">
        <v>26</v>
      </c>
      <c r="D36" s="15">
        <f t="shared" si="0"/>
        <v>236</v>
      </c>
      <c r="E36" s="15">
        <f>75+5</f>
        <v>80</v>
      </c>
      <c r="F36" s="15">
        <v>78</v>
      </c>
      <c r="G36" s="15">
        <v>78</v>
      </c>
    </row>
    <row r="37" spans="1:7" s="4" customFormat="1" ht="73.5" customHeight="1">
      <c r="A37" s="128"/>
      <c r="B37" s="71" t="str">
        <f>'додаток 1'!B36</f>
        <v>капітальний ремонт житлових будинків - переможців конкурсу "Моє чисте подвір'я", в тому числі житлових будинків об'єднань співвласників багатоквартирних будинків</v>
      </c>
      <c r="C37" s="14" t="s">
        <v>73</v>
      </c>
      <c r="D37" s="15">
        <f t="shared" si="0"/>
        <v>15</v>
      </c>
      <c r="E37" s="14">
        <f>5</f>
        <v>5</v>
      </c>
      <c r="F37" s="14">
        <v>5</v>
      </c>
      <c r="G37" s="14">
        <v>5</v>
      </c>
    </row>
    <row r="38" spans="1:7" s="4" customFormat="1" ht="71.25" customHeight="1">
      <c r="A38" s="128"/>
      <c r="B38" s="71" t="str">
        <f>'додаток 1'!B37</f>
        <v>капітальний ремонт житлових будинків - переможців конкурсу "Громадський бюджет",  в тому числі житлових будинків об'єднань співвласників багатоквартирних будинків</v>
      </c>
      <c r="C38" s="14" t="s">
        <v>73</v>
      </c>
      <c r="D38" s="15">
        <f>E38+F38+G38</f>
        <v>2</v>
      </c>
      <c r="E38" s="14">
        <v>2</v>
      </c>
      <c r="F38" s="14">
        <v>0</v>
      </c>
      <c r="G38" s="14">
        <v>0</v>
      </c>
    </row>
    <row r="39" spans="1:7" s="4" customFormat="1" ht="38.25" customHeight="1">
      <c r="A39" s="128"/>
      <c r="B39" s="6" t="s">
        <v>102</v>
      </c>
      <c r="C39" s="14" t="s">
        <v>119</v>
      </c>
      <c r="D39" s="15">
        <f t="shared" si="0"/>
        <v>333</v>
      </c>
      <c r="E39" s="14">
        <f>110+3</f>
        <v>113</v>
      </c>
      <c r="F39" s="14">
        <v>110</v>
      </c>
      <c r="G39" s="14">
        <v>110</v>
      </c>
    </row>
    <row r="40" spans="1:7" s="4" customFormat="1" ht="12.75" customHeight="1">
      <c r="A40" s="130" t="s">
        <v>67</v>
      </c>
      <c r="B40" s="131"/>
      <c r="C40" s="131"/>
      <c r="D40" s="131"/>
      <c r="E40" s="131"/>
      <c r="F40" s="131"/>
      <c r="G40" s="131"/>
    </row>
    <row r="41" spans="1:7" s="4" customFormat="1" ht="12.75">
      <c r="A41" s="127" t="s">
        <v>91</v>
      </c>
      <c r="B41" s="127"/>
      <c r="C41" s="127"/>
      <c r="D41" s="127"/>
      <c r="E41" s="127"/>
      <c r="F41" s="127"/>
      <c r="G41" s="127"/>
    </row>
    <row r="42" spans="1:7" s="4" customFormat="1" ht="52.5" customHeight="1">
      <c r="A42" s="119" t="s">
        <v>35</v>
      </c>
      <c r="B42" s="155" t="s">
        <v>68</v>
      </c>
      <c r="C42" s="121" t="s">
        <v>75</v>
      </c>
      <c r="D42" s="157">
        <v>7</v>
      </c>
      <c r="E42" s="121">
        <v>7</v>
      </c>
      <c r="F42" s="121">
        <v>7</v>
      </c>
      <c r="G42" s="121">
        <v>7</v>
      </c>
    </row>
    <row r="43" spans="1:7" s="4" customFormat="1" ht="18.75" customHeight="1">
      <c r="A43" s="128"/>
      <c r="B43" s="156"/>
      <c r="C43" s="122"/>
      <c r="D43" s="158"/>
      <c r="E43" s="122"/>
      <c r="F43" s="122"/>
      <c r="G43" s="122"/>
    </row>
    <row r="44" spans="1:7" s="4" customFormat="1" ht="38.25">
      <c r="A44" s="128"/>
      <c r="B44" s="12" t="s">
        <v>114</v>
      </c>
      <c r="C44" s="14" t="s">
        <v>76</v>
      </c>
      <c r="D44" s="7">
        <f aca="true" t="shared" si="1" ref="D44:D56">E44+F44+G44</f>
        <v>2.063</v>
      </c>
      <c r="E44" s="14">
        <f>1.929+0.134</f>
        <v>2.063</v>
      </c>
      <c r="F44" s="14"/>
      <c r="G44" s="14"/>
    </row>
    <row r="45" spans="1:7" s="4" customFormat="1" ht="38.25">
      <c r="A45" s="128"/>
      <c r="B45" s="12" t="s">
        <v>115</v>
      </c>
      <c r="C45" s="14" t="s">
        <v>76</v>
      </c>
      <c r="D45" s="7">
        <f t="shared" si="1"/>
        <v>0.807</v>
      </c>
      <c r="E45" s="14">
        <f>0.793+0.014</f>
        <v>0.807</v>
      </c>
      <c r="F45" s="14"/>
      <c r="G45" s="14"/>
    </row>
    <row r="46" spans="1:7" s="4" customFormat="1" ht="24.75" customHeight="1">
      <c r="A46" s="128"/>
      <c r="B46" s="12" t="s">
        <v>111</v>
      </c>
      <c r="C46" s="14"/>
      <c r="D46" s="35"/>
      <c r="E46" s="14"/>
      <c r="F46" s="14"/>
      <c r="G46" s="14"/>
    </row>
    <row r="47" spans="1:7" s="4" customFormat="1" ht="12.75">
      <c r="A47" s="128"/>
      <c r="B47" s="60" t="str">
        <f>'додаток 1'!B45</f>
        <v>покіс трави </v>
      </c>
      <c r="C47" s="14" t="s">
        <v>39</v>
      </c>
      <c r="D47" s="7">
        <f>E47</f>
        <v>3790</v>
      </c>
      <c r="E47" s="65">
        <v>3790</v>
      </c>
      <c r="F47" s="14"/>
      <c r="G47" s="14"/>
    </row>
    <row r="48" spans="1:7" s="4" customFormat="1" ht="27.75" customHeight="1">
      <c r="A48" s="128"/>
      <c r="B48" s="60" t="str">
        <f>'додаток 1'!B46</f>
        <v>навантаження, подрібнення та вивіз опалого листя та гілля </v>
      </c>
      <c r="C48" s="14" t="s">
        <v>89</v>
      </c>
      <c r="D48" s="7">
        <f>E48</f>
        <v>33.13416</v>
      </c>
      <c r="E48" s="65">
        <f>32.241+0.89316</f>
        <v>33.13416</v>
      </c>
      <c r="F48" s="14"/>
      <c r="G48" s="14"/>
    </row>
    <row r="49" spans="1:7" s="4" customFormat="1" ht="35.25" customHeight="1">
      <c r="A49" s="128"/>
      <c r="B49" s="60" t="str">
        <f>'додаток 1'!B47</f>
        <v>прибирання снігу та посипання території протиожеледними засобами</v>
      </c>
      <c r="C49" s="14" t="s">
        <v>39</v>
      </c>
      <c r="D49" s="43">
        <f>E49</f>
        <v>13595.49</v>
      </c>
      <c r="E49" s="66">
        <v>13595.49</v>
      </c>
      <c r="F49" s="14"/>
      <c r="G49" s="14"/>
    </row>
    <row r="50" spans="1:7" s="4" customFormat="1" ht="74.25" customHeight="1">
      <c r="A50" s="128"/>
      <c r="B50" s="94" t="str">
        <f>'додаток 1'!B48</f>
        <v>виконання робіт з підготовки  схем внутрішньоквартальних доріг, тротуарів, зелених насаджень та пішохідних доріжок у кварталах житлової забудови м.Запоріжжя з визначенням площ</v>
      </c>
      <c r="C50" s="14" t="s">
        <v>48</v>
      </c>
      <c r="D50" s="43">
        <f>E50</f>
        <v>1</v>
      </c>
      <c r="E50" s="100">
        <v>1</v>
      </c>
      <c r="F50" s="14"/>
      <c r="G50" s="14"/>
    </row>
    <row r="51" spans="1:7" s="4" customFormat="1" ht="25.5">
      <c r="A51" s="128"/>
      <c r="B51" s="6" t="s">
        <v>109</v>
      </c>
      <c r="C51" s="14" t="s">
        <v>87</v>
      </c>
      <c r="D51" s="43">
        <f t="shared" si="1"/>
        <v>1823.255</v>
      </c>
      <c r="E51" s="37">
        <f>1250+573.255</f>
        <v>1823.255</v>
      </c>
      <c r="F51" s="14"/>
      <c r="G51" s="14"/>
    </row>
    <row r="52" spans="1:7" s="4" customFormat="1" ht="54" customHeight="1">
      <c r="A52" s="128"/>
      <c r="B52" s="6" t="str">
        <f>'додаток 1'!B50</f>
        <v>проведення державної повірки та ремонт приладів обліку теплової енергії, які встановлені у жилому фонді</v>
      </c>
      <c r="C52" s="14" t="s">
        <v>76</v>
      </c>
      <c r="D52" s="7">
        <f t="shared" si="1"/>
        <v>0.05499999999999999</v>
      </c>
      <c r="E52" s="14">
        <f>0.044+0.011</f>
        <v>0.05499999999999999</v>
      </c>
      <c r="F52" s="14"/>
      <c r="G52" s="14"/>
    </row>
    <row r="53" spans="1:7" s="4" customFormat="1" ht="54.75" customHeight="1">
      <c r="A53" s="128"/>
      <c r="B53" s="19" t="str">
        <f>'додаток 1'!B51</f>
        <v>виготовлення технічної документації на переведення нежитлових приміщень до житлового фонду</v>
      </c>
      <c r="C53" s="14" t="s">
        <v>76</v>
      </c>
      <c r="D53" s="7">
        <f t="shared" si="1"/>
        <v>0.005</v>
      </c>
      <c r="E53" s="14">
        <v>0.005</v>
      </c>
      <c r="F53" s="14"/>
      <c r="G53" s="14"/>
    </row>
    <row r="54" spans="1:7" s="4" customFormat="1" ht="38.25">
      <c r="A54" s="128"/>
      <c r="B54" s="19" t="s">
        <v>104</v>
      </c>
      <c r="C54" s="14" t="s">
        <v>76</v>
      </c>
      <c r="D54" s="7">
        <f t="shared" si="1"/>
        <v>0.595</v>
      </c>
      <c r="E54" s="14">
        <v>0.595</v>
      </c>
      <c r="F54" s="14"/>
      <c r="G54" s="14"/>
    </row>
    <row r="55" spans="1:7" s="4" customFormat="1" ht="29.25" customHeight="1">
      <c r="A55" s="63"/>
      <c r="B55" s="19" t="str">
        <f>'додаток 1'!B53</f>
        <v>виготовлення технічних паспортів на ліфти</v>
      </c>
      <c r="C55" s="14" t="s">
        <v>26</v>
      </c>
      <c r="D55" s="15">
        <f t="shared" si="1"/>
        <v>22</v>
      </c>
      <c r="E55" s="14">
        <v>22</v>
      </c>
      <c r="F55" s="14"/>
      <c r="G55" s="14"/>
    </row>
    <row r="56" spans="1:7" s="4" customFormat="1" ht="25.5">
      <c r="A56" s="63"/>
      <c r="B56" s="19" t="s">
        <v>129</v>
      </c>
      <c r="C56" s="14" t="s">
        <v>130</v>
      </c>
      <c r="D56" s="7">
        <f t="shared" si="1"/>
        <v>0.578</v>
      </c>
      <c r="E56" s="7">
        <v>0.578</v>
      </c>
      <c r="F56" s="14"/>
      <c r="G56" s="14"/>
    </row>
    <row r="57" spans="1:7" s="4" customFormat="1" ht="25.5">
      <c r="A57" s="63"/>
      <c r="B57" s="19" t="s">
        <v>134</v>
      </c>
      <c r="C57" s="14" t="s">
        <v>26</v>
      </c>
      <c r="D57" s="15">
        <f>SUM(E57:G57)</f>
        <v>430</v>
      </c>
      <c r="E57" s="15">
        <v>430</v>
      </c>
      <c r="F57" s="7"/>
      <c r="G57" s="7"/>
    </row>
    <row r="58" spans="1:7" s="4" customFormat="1" ht="25.5">
      <c r="A58" s="63"/>
      <c r="B58" s="19" t="s">
        <v>137</v>
      </c>
      <c r="C58" s="14" t="s">
        <v>26</v>
      </c>
      <c r="D58" s="15">
        <f>SUM(E58:G58)</f>
        <v>313</v>
      </c>
      <c r="E58" s="15">
        <v>313</v>
      </c>
      <c r="F58" s="7"/>
      <c r="G58" s="7"/>
    </row>
    <row r="59" spans="1:8" s="4" customFormat="1" ht="25.5">
      <c r="A59" s="79"/>
      <c r="B59" s="83" t="s">
        <v>140</v>
      </c>
      <c r="C59" s="14" t="s">
        <v>141</v>
      </c>
      <c r="D59" s="29">
        <v>800</v>
      </c>
      <c r="E59" s="15">
        <v>800</v>
      </c>
      <c r="F59" s="7"/>
      <c r="G59" s="7"/>
      <c r="H59" s="7"/>
    </row>
    <row r="60" spans="1:7" s="4" customFormat="1" ht="12.75">
      <c r="A60" s="127" t="s">
        <v>55</v>
      </c>
      <c r="B60" s="127"/>
      <c r="C60" s="127"/>
      <c r="D60" s="127"/>
      <c r="E60" s="127"/>
      <c r="F60" s="127"/>
      <c r="G60" s="127"/>
    </row>
    <row r="61" spans="1:7" s="4" customFormat="1" ht="7.5" customHeight="1">
      <c r="A61" s="126" t="s">
        <v>35</v>
      </c>
      <c r="B61" s="20"/>
      <c r="C61" s="14"/>
      <c r="D61" s="37"/>
      <c r="E61" s="37"/>
      <c r="F61" s="37"/>
      <c r="G61" s="37"/>
    </row>
    <row r="62" spans="1:10" s="4" customFormat="1" ht="51">
      <c r="A62" s="126"/>
      <c r="B62" s="20" t="s">
        <v>49</v>
      </c>
      <c r="C62" s="14" t="s">
        <v>39</v>
      </c>
      <c r="D62" s="33">
        <f>E62</f>
        <v>14.47</v>
      </c>
      <c r="E62" s="7">
        <v>14.47</v>
      </c>
      <c r="F62" s="54"/>
      <c r="G62" s="54"/>
      <c r="J62" s="45"/>
    </row>
    <row r="63" spans="1:7" s="4" customFormat="1" ht="12.75">
      <c r="A63" s="127" t="s">
        <v>51</v>
      </c>
      <c r="B63" s="127"/>
      <c r="C63" s="127"/>
      <c r="D63" s="127"/>
      <c r="E63" s="127"/>
      <c r="F63" s="127"/>
      <c r="G63" s="127"/>
    </row>
    <row r="64" spans="1:7" s="4" customFormat="1" ht="8.25" customHeight="1">
      <c r="A64" s="119" t="s">
        <v>35</v>
      </c>
      <c r="B64" s="20"/>
      <c r="C64" s="14"/>
      <c r="D64" s="37"/>
      <c r="E64" s="37"/>
      <c r="F64" s="37"/>
      <c r="G64" s="37"/>
    </row>
    <row r="65" spans="1:7" s="4" customFormat="1" ht="55.5" customHeight="1">
      <c r="A65" s="128"/>
      <c r="B65" s="20" t="s">
        <v>49</v>
      </c>
      <c r="C65" s="14" t="s">
        <v>39</v>
      </c>
      <c r="D65" s="33">
        <f>E65</f>
        <v>6.34</v>
      </c>
      <c r="E65" s="7">
        <f>7.936-1.596</f>
        <v>6.34</v>
      </c>
      <c r="F65" s="54"/>
      <c r="G65" s="54"/>
    </row>
    <row r="66" spans="1:7" s="4" customFormat="1" ht="63.75">
      <c r="A66" s="120"/>
      <c r="B66" s="20" t="s">
        <v>81</v>
      </c>
      <c r="C66" s="14" t="s">
        <v>82</v>
      </c>
      <c r="D66" s="14">
        <f>E66+F66+G66</f>
        <v>1</v>
      </c>
      <c r="E66" s="14">
        <v>1</v>
      </c>
      <c r="F66" s="14"/>
      <c r="G66" s="14"/>
    </row>
    <row r="67" spans="1:7" s="4" customFormat="1" ht="12.75">
      <c r="A67" s="127" t="s">
        <v>53</v>
      </c>
      <c r="B67" s="127"/>
      <c r="C67" s="127"/>
      <c r="D67" s="127"/>
      <c r="E67" s="127"/>
      <c r="F67" s="127"/>
      <c r="G67" s="127"/>
    </row>
    <row r="68" spans="1:7" s="4" customFormat="1" ht="8.25" customHeight="1">
      <c r="A68" s="149" t="s">
        <v>35</v>
      </c>
      <c r="B68" s="20"/>
      <c r="C68" s="14"/>
      <c r="D68" s="14"/>
      <c r="E68" s="14"/>
      <c r="F68" s="14"/>
      <c r="G68" s="14"/>
    </row>
    <row r="69" spans="1:7" s="4" customFormat="1" ht="54.75" customHeight="1">
      <c r="A69" s="152"/>
      <c r="B69" s="20" t="s">
        <v>49</v>
      </c>
      <c r="C69" s="14" t="s">
        <v>39</v>
      </c>
      <c r="D69" s="33">
        <f>E69+F69+G69</f>
        <v>13.69</v>
      </c>
      <c r="E69" s="33">
        <v>13.69</v>
      </c>
      <c r="F69" s="14"/>
      <c r="G69" s="14"/>
    </row>
    <row r="70" spans="1:7" s="4" customFormat="1" ht="63.75">
      <c r="A70" s="150"/>
      <c r="B70" s="20" t="s">
        <v>81</v>
      </c>
      <c r="C70" s="14" t="s">
        <v>82</v>
      </c>
      <c r="D70" s="14">
        <f>E70+F70+G70</f>
        <v>1</v>
      </c>
      <c r="E70" s="14">
        <v>1</v>
      </c>
      <c r="F70" s="14"/>
      <c r="G70" s="14"/>
    </row>
    <row r="71" spans="1:7" s="4" customFormat="1" ht="12.75">
      <c r="A71" s="127" t="s">
        <v>29</v>
      </c>
      <c r="B71" s="127"/>
      <c r="C71" s="127"/>
      <c r="D71" s="127"/>
      <c r="E71" s="127"/>
      <c r="F71" s="127"/>
      <c r="G71" s="127"/>
    </row>
    <row r="72" spans="1:7" s="4" customFormat="1" ht="6" customHeight="1">
      <c r="A72" s="119" t="s">
        <v>35</v>
      </c>
      <c r="B72" s="20"/>
      <c r="C72" s="14"/>
      <c r="D72" s="14"/>
      <c r="E72" s="14"/>
      <c r="F72" s="14"/>
      <c r="G72" s="14"/>
    </row>
    <row r="73" spans="1:7" s="4" customFormat="1" ht="51">
      <c r="A73" s="128"/>
      <c r="B73" s="20" t="s">
        <v>49</v>
      </c>
      <c r="C73" s="14" t="s">
        <v>39</v>
      </c>
      <c r="D73" s="14">
        <f>E73+F73+G73</f>
        <v>7.955</v>
      </c>
      <c r="E73" s="33">
        <v>7.955</v>
      </c>
      <c r="F73" s="14"/>
      <c r="G73" s="14"/>
    </row>
    <row r="74" spans="1:7" s="4" customFormat="1" ht="63.75">
      <c r="A74" s="120"/>
      <c r="B74" s="20" t="s">
        <v>81</v>
      </c>
      <c r="C74" s="14" t="s">
        <v>82</v>
      </c>
      <c r="D74" s="14">
        <f>E74+F74+G74</f>
        <v>1</v>
      </c>
      <c r="E74" s="64">
        <v>1</v>
      </c>
      <c r="F74" s="14"/>
      <c r="G74" s="14"/>
    </row>
    <row r="75" spans="1:7" s="4" customFormat="1" ht="12.75">
      <c r="A75" s="127" t="s">
        <v>30</v>
      </c>
      <c r="B75" s="127"/>
      <c r="C75" s="127"/>
      <c r="D75" s="127"/>
      <c r="E75" s="127"/>
      <c r="F75" s="127"/>
      <c r="G75" s="127"/>
    </row>
    <row r="76" spans="1:7" s="4" customFormat="1" ht="8.25" customHeight="1">
      <c r="A76" s="119" t="s">
        <v>35</v>
      </c>
      <c r="B76" s="20"/>
      <c r="C76" s="14"/>
      <c r="D76" s="14"/>
      <c r="E76" s="14"/>
      <c r="F76" s="14"/>
      <c r="G76" s="14"/>
    </row>
    <row r="77" spans="1:7" s="4" customFormat="1" ht="48">
      <c r="A77" s="128"/>
      <c r="B77" s="115" t="s">
        <v>49</v>
      </c>
      <c r="C77" s="14" t="s">
        <v>39</v>
      </c>
      <c r="D77" s="33">
        <f>E77+F77+G77</f>
        <v>12.565</v>
      </c>
      <c r="E77" s="33">
        <v>12.565</v>
      </c>
      <c r="F77" s="14"/>
      <c r="G77" s="14"/>
    </row>
    <row r="78" spans="1:7" s="4" customFormat="1" ht="48">
      <c r="A78" s="120"/>
      <c r="B78" s="115" t="s">
        <v>81</v>
      </c>
      <c r="C78" s="14" t="s">
        <v>82</v>
      </c>
      <c r="D78" s="14">
        <f>E78+F78+G78</f>
        <v>1</v>
      </c>
      <c r="E78" s="14">
        <v>1</v>
      </c>
      <c r="F78" s="14"/>
      <c r="G78" s="14"/>
    </row>
    <row r="79" spans="1:7" s="4" customFormat="1" ht="12.75">
      <c r="A79" s="127" t="s">
        <v>31</v>
      </c>
      <c r="B79" s="127"/>
      <c r="C79" s="127"/>
      <c r="D79" s="127"/>
      <c r="E79" s="127"/>
      <c r="F79" s="127"/>
      <c r="G79" s="127"/>
    </row>
    <row r="80" spans="1:7" s="4" customFormat="1" ht="5.25" customHeight="1">
      <c r="A80" s="149" t="s">
        <v>35</v>
      </c>
      <c r="B80" s="20"/>
      <c r="C80" s="14"/>
      <c r="D80" s="14"/>
      <c r="E80" s="14"/>
      <c r="F80" s="14"/>
      <c r="G80" s="14"/>
    </row>
    <row r="81" spans="1:7" s="4" customFormat="1" ht="48">
      <c r="A81" s="150"/>
      <c r="B81" s="115" t="s">
        <v>49</v>
      </c>
      <c r="C81" s="14" t="s">
        <v>39</v>
      </c>
      <c r="D81" s="33">
        <f>E81+F81+G81</f>
        <v>9.18</v>
      </c>
      <c r="E81" s="33">
        <v>9.18</v>
      </c>
      <c r="F81" s="14"/>
      <c r="G81" s="14"/>
    </row>
    <row r="82" spans="1:7" s="4" customFormat="1" ht="48">
      <c r="A82" s="79"/>
      <c r="B82" s="115" t="s">
        <v>81</v>
      </c>
      <c r="C82" s="14" t="s">
        <v>82</v>
      </c>
      <c r="D82" s="14">
        <f>E82+F82+G82</f>
        <v>1</v>
      </c>
      <c r="E82" s="14">
        <v>1</v>
      </c>
      <c r="F82" s="14"/>
      <c r="G82" s="14"/>
    </row>
    <row r="83" spans="1:7" s="4" customFormat="1" ht="12.75">
      <c r="A83" s="127" t="s">
        <v>32</v>
      </c>
      <c r="B83" s="127"/>
      <c r="C83" s="127"/>
      <c r="D83" s="127"/>
      <c r="E83" s="127"/>
      <c r="F83" s="127"/>
      <c r="G83" s="127"/>
    </row>
    <row r="84" spans="1:7" s="4" customFormat="1" ht="6.75" customHeight="1">
      <c r="A84" s="149" t="s">
        <v>35</v>
      </c>
      <c r="B84" s="20"/>
      <c r="C84" s="14"/>
      <c r="D84" s="14"/>
      <c r="E84" s="14"/>
      <c r="F84" s="14"/>
      <c r="G84" s="14"/>
    </row>
    <row r="85" spans="1:7" s="4" customFormat="1" ht="49.5" customHeight="1">
      <c r="A85" s="150"/>
      <c r="B85" s="115" t="s">
        <v>49</v>
      </c>
      <c r="C85" s="14" t="s">
        <v>39</v>
      </c>
      <c r="D85" s="33">
        <f>E85</f>
        <v>5.663</v>
      </c>
      <c r="E85" s="33">
        <v>5.663</v>
      </c>
      <c r="F85" s="14"/>
      <c r="G85" s="14"/>
    </row>
    <row r="86" spans="1:8" s="4" customFormat="1" ht="12.75" customHeight="1">
      <c r="A86" s="130" t="s">
        <v>138</v>
      </c>
      <c r="B86" s="131"/>
      <c r="C86" s="131"/>
      <c r="D86" s="131"/>
      <c r="E86" s="131"/>
      <c r="F86" s="131"/>
      <c r="G86" s="131"/>
      <c r="H86" s="132"/>
    </row>
    <row r="87" spans="1:8" s="4" customFormat="1" ht="12.75">
      <c r="A87" s="142" t="s">
        <v>91</v>
      </c>
      <c r="B87" s="143"/>
      <c r="C87" s="143"/>
      <c r="D87" s="143"/>
      <c r="E87" s="143"/>
      <c r="F87" s="143"/>
      <c r="G87" s="144"/>
      <c r="H87" s="3"/>
    </row>
    <row r="88" spans="1:8" s="4" customFormat="1" ht="17.25" customHeight="1">
      <c r="A88" s="119" t="s">
        <v>139</v>
      </c>
      <c r="B88" s="6"/>
      <c r="C88" s="14"/>
      <c r="D88" s="15"/>
      <c r="E88" s="14"/>
      <c r="F88" s="14"/>
      <c r="G88" s="14"/>
      <c r="H88" s="3"/>
    </row>
    <row r="89" spans="1:8" s="4" customFormat="1" ht="25.5" customHeight="1">
      <c r="A89" s="128"/>
      <c r="B89" s="6" t="s">
        <v>151</v>
      </c>
      <c r="C89" s="14" t="s">
        <v>48</v>
      </c>
      <c r="D89" s="15">
        <f>E89+F89+G89</f>
        <v>3</v>
      </c>
      <c r="E89" s="15">
        <v>3</v>
      </c>
      <c r="F89" s="14"/>
      <c r="G89" s="14"/>
      <c r="H89" s="3"/>
    </row>
    <row r="90" spans="1:7" s="4" customFormat="1" ht="12.75">
      <c r="A90" s="130" t="s">
        <v>116</v>
      </c>
      <c r="B90" s="131"/>
      <c r="C90" s="131"/>
      <c r="D90" s="131"/>
      <c r="E90" s="131"/>
      <c r="F90" s="131"/>
      <c r="G90" s="131"/>
    </row>
    <row r="91" spans="1:7" s="4" customFormat="1" ht="12.75">
      <c r="A91" s="127" t="s">
        <v>91</v>
      </c>
      <c r="B91" s="127"/>
      <c r="C91" s="127"/>
      <c r="D91" s="127"/>
      <c r="E91" s="127"/>
      <c r="F91" s="127"/>
      <c r="G91" s="127"/>
    </row>
    <row r="92" spans="1:7" s="4" customFormat="1" ht="9.75" customHeight="1">
      <c r="A92" s="119" t="s">
        <v>117</v>
      </c>
      <c r="B92" s="20"/>
      <c r="C92" s="6"/>
      <c r="D92" s="6"/>
      <c r="E92" s="5"/>
      <c r="F92" s="5"/>
      <c r="G92" s="5"/>
    </row>
    <row r="93" spans="1:8" s="4" customFormat="1" ht="36">
      <c r="A93" s="120"/>
      <c r="B93" s="115" t="s">
        <v>118</v>
      </c>
      <c r="C93" s="14" t="s">
        <v>26</v>
      </c>
      <c r="D93" s="15">
        <f>E93+F93+G93</f>
        <v>230</v>
      </c>
      <c r="E93" s="64">
        <f>216+14</f>
        <v>230</v>
      </c>
      <c r="F93" s="14">
        <v>0</v>
      </c>
      <c r="G93" s="14">
        <v>0</v>
      </c>
      <c r="H93" s="4">
        <v>216</v>
      </c>
    </row>
    <row r="94" spans="1:7" s="4" customFormat="1" ht="12.75">
      <c r="A94" s="134" t="s">
        <v>34</v>
      </c>
      <c r="B94" s="151"/>
      <c r="C94" s="151"/>
      <c r="D94" s="151"/>
      <c r="E94" s="151"/>
      <c r="F94" s="151"/>
      <c r="G94" s="151"/>
    </row>
    <row r="95" spans="1:7" s="4" customFormat="1" ht="12.75">
      <c r="A95" s="127" t="s">
        <v>91</v>
      </c>
      <c r="B95" s="127"/>
      <c r="C95" s="127"/>
      <c r="D95" s="127"/>
      <c r="E95" s="127"/>
      <c r="F95" s="127"/>
      <c r="G95" s="127"/>
    </row>
    <row r="96" spans="1:7" s="4" customFormat="1" ht="8.25" customHeight="1">
      <c r="A96" s="119" t="s">
        <v>36</v>
      </c>
      <c r="B96" s="14"/>
      <c r="C96" s="14"/>
      <c r="D96" s="14"/>
      <c r="E96" s="14"/>
      <c r="F96" s="14"/>
      <c r="G96" s="14"/>
    </row>
    <row r="97" spans="1:7" s="4" customFormat="1" ht="25.5" customHeight="1">
      <c r="A97" s="128"/>
      <c r="B97" s="71" t="s">
        <v>44</v>
      </c>
      <c r="C97" s="14" t="s">
        <v>48</v>
      </c>
      <c r="D97" s="15">
        <f>E97+F97+G97</f>
        <v>37</v>
      </c>
      <c r="E97" s="14">
        <f>12+6+6-3-3+2-1+2-1+1+1</f>
        <v>22</v>
      </c>
      <c r="F97" s="14">
        <f>2+3+5</f>
        <v>10</v>
      </c>
      <c r="G97" s="14">
        <f>2+3</f>
        <v>5</v>
      </c>
    </row>
    <row r="98" spans="1:7" s="4" customFormat="1" ht="36">
      <c r="A98" s="128"/>
      <c r="B98" s="71" t="s">
        <v>85</v>
      </c>
      <c r="C98" s="14" t="s">
        <v>40</v>
      </c>
      <c r="D98" s="15">
        <f>E98+F98+G98</f>
        <v>4</v>
      </c>
      <c r="E98" s="14">
        <v>4</v>
      </c>
      <c r="F98" s="14"/>
      <c r="G98" s="14"/>
    </row>
    <row r="99" spans="1:8" s="4" customFormat="1" ht="12.75" customHeight="1">
      <c r="A99" s="130" t="s">
        <v>131</v>
      </c>
      <c r="B99" s="131"/>
      <c r="C99" s="131"/>
      <c r="D99" s="131"/>
      <c r="E99" s="131"/>
      <c r="F99" s="131"/>
      <c r="G99" s="131"/>
      <c r="H99" s="132"/>
    </row>
    <row r="100" spans="1:8" s="4" customFormat="1" ht="12.75">
      <c r="A100" s="142" t="s">
        <v>91</v>
      </c>
      <c r="B100" s="143"/>
      <c r="C100" s="143"/>
      <c r="D100" s="143"/>
      <c r="E100" s="143"/>
      <c r="F100" s="143"/>
      <c r="G100" s="144"/>
      <c r="H100" s="3"/>
    </row>
    <row r="101" spans="1:8" s="4" customFormat="1" ht="8.25" customHeight="1">
      <c r="A101" s="119" t="s">
        <v>132</v>
      </c>
      <c r="B101" s="6"/>
      <c r="C101" s="14"/>
      <c r="D101" s="15"/>
      <c r="E101" s="14"/>
      <c r="F101" s="14"/>
      <c r="G101" s="14"/>
      <c r="H101" s="3"/>
    </row>
    <row r="102" spans="1:8" s="4" customFormat="1" ht="29.25" customHeight="1">
      <c r="A102" s="128"/>
      <c r="B102" s="6" t="s">
        <v>150</v>
      </c>
      <c r="C102" s="14" t="s">
        <v>26</v>
      </c>
      <c r="D102" s="15">
        <f>E102+F102+G102</f>
        <v>1</v>
      </c>
      <c r="E102" s="15">
        <v>1</v>
      </c>
      <c r="F102" s="14"/>
      <c r="G102" s="14"/>
      <c r="H102" s="3"/>
    </row>
    <row r="103" spans="1:7" s="1" customFormat="1" ht="12.75">
      <c r="A103" s="148" t="s">
        <v>70</v>
      </c>
      <c r="B103" s="148"/>
      <c r="C103" s="148"/>
      <c r="D103" s="148"/>
      <c r="E103" s="148"/>
      <c r="F103" s="148"/>
      <c r="G103" s="148"/>
    </row>
    <row r="104" spans="1:7" s="1" customFormat="1" ht="12.75">
      <c r="A104" s="129" t="s">
        <v>91</v>
      </c>
      <c r="B104" s="129"/>
      <c r="C104" s="129"/>
      <c r="D104" s="129"/>
      <c r="E104" s="129"/>
      <c r="F104" s="129"/>
      <c r="G104" s="129"/>
    </row>
    <row r="105" spans="1:7" s="1" customFormat="1" ht="10.5" customHeight="1">
      <c r="A105" s="119" t="s">
        <v>122</v>
      </c>
      <c r="B105" s="16"/>
      <c r="C105" s="3"/>
      <c r="D105" s="12"/>
      <c r="E105" s="12"/>
      <c r="F105" s="12"/>
      <c r="G105" s="12"/>
    </row>
    <row r="106" spans="1:7" s="1" customFormat="1" ht="47.25" customHeight="1">
      <c r="A106" s="128"/>
      <c r="B106" s="71" t="s">
        <v>108</v>
      </c>
      <c r="C106" s="73" t="s">
        <v>40</v>
      </c>
      <c r="D106" s="38">
        <f>E106+F106+G106</f>
        <v>4</v>
      </c>
      <c r="E106" s="38">
        <f>3+1</f>
        <v>4</v>
      </c>
      <c r="F106" s="38"/>
      <c r="G106" s="38"/>
    </row>
    <row r="107" spans="1:7" s="1" customFormat="1" ht="12.75" customHeight="1">
      <c r="A107" s="128"/>
      <c r="B107" s="58" t="s">
        <v>107</v>
      </c>
      <c r="C107" s="56"/>
      <c r="D107" s="56"/>
      <c r="E107" s="56"/>
      <c r="F107" s="56"/>
      <c r="G107" s="57"/>
    </row>
    <row r="108" spans="1:7" s="1" customFormat="1" ht="47.25" customHeight="1">
      <c r="A108" s="120"/>
      <c r="B108" s="71" t="s">
        <v>108</v>
      </c>
      <c r="C108" s="73" t="s">
        <v>40</v>
      </c>
      <c r="D108" s="38">
        <f>E108+F108+G108</f>
        <v>1</v>
      </c>
      <c r="E108" s="38">
        <v>1</v>
      </c>
      <c r="F108" s="38"/>
      <c r="G108" s="38"/>
    </row>
    <row r="109" spans="1:7" s="1" customFormat="1" ht="12.75" hidden="1">
      <c r="A109" s="130" t="s">
        <v>77</v>
      </c>
      <c r="B109" s="131"/>
      <c r="C109" s="131"/>
      <c r="D109" s="131"/>
      <c r="E109" s="131"/>
      <c r="F109" s="131"/>
      <c r="G109" s="131"/>
    </row>
    <row r="110" spans="1:7" s="1" customFormat="1" ht="12.75" hidden="1">
      <c r="A110" s="129" t="s">
        <v>72</v>
      </c>
      <c r="B110" s="129"/>
      <c r="C110" s="129"/>
      <c r="D110" s="129"/>
      <c r="E110" s="129"/>
      <c r="F110" s="129"/>
      <c r="G110" s="129"/>
    </row>
    <row r="111" spans="1:7" s="1" customFormat="1" ht="12.75" customHeight="1" hidden="1">
      <c r="A111" s="119" t="s">
        <v>78</v>
      </c>
      <c r="B111" s="16"/>
      <c r="C111" s="3"/>
      <c r="D111" s="12"/>
      <c r="E111" s="12"/>
      <c r="F111" s="12"/>
      <c r="G111" s="12"/>
    </row>
    <row r="112" spans="1:7" s="1" customFormat="1" ht="54.75" customHeight="1" hidden="1">
      <c r="A112" s="120"/>
      <c r="B112" s="6" t="s">
        <v>79</v>
      </c>
      <c r="C112" s="3" t="s">
        <v>26</v>
      </c>
      <c r="D112" s="38">
        <f>E112+F112+G112</f>
        <v>0</v>
      </c>
      <c r="E112" s="38"/>
      <c r="F112" s="3"/>
      <c r="G112" s="3"/>
    </row>
    <row r="113" spans="1:7" s="1" customFormat="1" ht="12.75" hidden="1">
      <c r="A113" s="148" t="str">
        <f>'додаток 1'!A98:H98</f>
        <v>Інші видатки</v>
      </c>
      <c r="B113" s="148"/>
      <c r="C113" s="148"/>
      <c r="D113" s="148"/>
      <c r="E113" s="148"/>
      <c r="F113" s="148"/>
      <c r="G113" s="148"/>
    </row>
    <row r="114" spans="1:7" s="1" customFormat="1" ht="12.75" hidden="1">
      <c r="A114" s="129" t="s">
        <v>91</v>
      </c>
      <c r="B114" s="129"/>
      <c r="C114" s="129"/>
      <c r="D114" s="129"/>
      <c r="E114" s="129"/>
      <c r="F114" s="129"/>
      <c r="G114" s="129"/>
    </row>
    <row r="115" spans="1:7" s="1" customFormat="1" ht="10.5" customHeight="1" hidden="1">
      <c r="A115" s="119" t="s">
        <v>153</v>
      </c>
      <c r="B115" s="16"/>
      <c r="C115" s="3"/>
      <c r="D115" s="12"/>
      <c r="E115" s="12"/>
      <c r="F115" s="12"/>
      <c r="G115" s="12"/>
    </row>
    <row r="116" spans="1:7" s="1" customFormat="1" ht="55.5" customHeight="1" hidden="1">
      <c r="A116" s="120"/>
      <c r="B116" s="6" t="str">
        <f>'додаток 1'!B100</f>
        <v>придбання спеціальної техніки комунальному підприємству «Центр управління інформаційними технологіями»   </v>
      </c>
      <c r="C116" s="73" t="s">
        <v>40</v>
      </c>
      <c r="D116" s="38">
        <f>E116+F116+G116</f>
        <v>0</v>
      </c>
      <c r="E116" s="38"/>
      <c r="F116" s="38"/>
      <c r="G116" s="38"/>
    </row>
    <row r="117" spans="1:7" ht="12.75" customHeight="1">
      <c r="A117" s="145" t="s">
        <v>77</v>
      </c>
      <c r="B117" s="146"/>
      <c r="C117" s="146"/>
      <c r="D117" s="146"/>
      <c r="E117" s="146"/>
      <c r="F117" s="146"/>
      <c r="G117" s="147"/>
    </row>
    <row r="118" spans="1:7" ht="12.75">
      <c r="A118" s="129" t="s">
        <v>91</v>
      </c>
      <c r="B118" s="129"/>
      <c r="C118" s="129"/>
      <c r="D118" s="129"/>
      <c r="E118" s="129"/>
      <c r="F118" s="129"/>
      <c r="G118" s="129"/>
    </row>
    <row r="119" spans="1:9" ht="36">
      <c r="A119" s="119" t="s">
        <v>128</v>
      </c>
      <c r="B119" s="71" t="s">
        <v>71</v>
      </c>
      <c r="C119" s="77" t="s">
        <v>26</v>
      </c>
      <c r="D119" s="36">
        <f>E119+F119+G119</f>
        <v>17</v>
      </c>
      <c r="E119" s="39">
        <f>6+1+4-1+3+2+2</f>
        <v>17</v>
      </c>
      <c r="F119" s="39"/>
      <c r="G119" s="39"/>
      <c r="H119" s="13"/>
      <c r="I119" s="13"/>
    </row>
    <row r="120" spans="1:9" s="1" customFormat="1" ht="48" customHeight="1">
      <c r="A120" s="128"/>
      <c r="B120" s="94" t="str">
        <f>'додаток 1'!B104</f>
        <v>капітальний ремонт підвального приміщення будівлі за адресою м.Запоріжжя вулиця Незалежної України 46-А</v>
      </c>
      <c r="C120" s="77" t="s">
        <v>126</v>
      </c>
      <c r="D120" s="39">
        <f>E120+F120+G120</f>
        <v>210</v>
      </c>
      <c r="E120" s="39">
        <v>210</v>
      </c>
      <c r="F120" s="67"/>
      <c r="G120" s="7"/>
      <c r="H120" s="55"/>
      <c r="I120" s="68"/>
    </row>
    <row r="121" spans="1:9" s="1" customFormat="1" ht="36">
      <c r="A121" s="120"/>
      <c r="B121" s="72" t="str">
        <f>'додаток 1'!B105</f>
        <v>капітальний ремонт приміщення будівлі за адресою м.Запоріжжя вулиця Незалежної України 46-А</v>
      </c>
      <c r="C121" s="14" t="s">
        <v>127</v>
      </c>
      <c r="D121" s="69">
        <v>1</v>
      </c>
      <c r="E121" s="70">
        <v>1</v>
      </c>
      <c r="F121" s="67"/>
      <c r="G121" s="7"/>
      <c r="H121" s="55"/>
      <c r="I121" s="68"/>
    </row>
    <row r="122" spans="1:8" s="4" customFormat="1" ht="12.75" customHeight="1">
      <c r="A122" s="130" t="str">
        <f>'додаток 1'!A106:H106</f>
        <v>Виконання інших завдань та заходів</v>
      </c>
      <c r="B122" s="131"/>
      <c r="C122" s="131"/>
      <c r="D122" s="131"/>
      <c r="E122" s="131"/>
      <c r="F122" s="131"/>
      <c r="G122" s="131"/>
      <c r="H122" s="132"/>
    </row>
    <row r="123" spans="1:8" s="4" customFormat="1" ht="12.75">
      <c r="A123" s="142" t="s">
        <v>91</v>
      </c>
      <c r="B123" s="143"/>
      <c r="C123" s="143"/>
      <c r="D123" s="143"/>
      <c r="E123" s="143"/>
      <c r="F123" s="143"/>
      <c r="G123" s="144"/>
      <c r="H123" s="3"/>
    </row>
    <row r="124" spans="1:8" s="4" customFormat="1" ht="8.25" customHeight="1">
      <c r="A124" s="119" t="s">
        <v>157</v>
      </c>
      <c r="B124" s="6"/>
      <c r="C124" s="14"/>
      <c r="D124" s="15"/>
      <c r="E124" s="14"/>
      <c r="F124" s="14"/>
      <c r="G124" s="14"/>
      <c r="H124" s="3"/>
    </row>
    <row r="125" spans="1:8" s="4" customFormat="1" ht="29.25" customHeight="1">
      <c r="A125" s="120"/>
      <c r="B125" s="61" t="s">
        <v>158</v>
      </c>
      <c r="C125" s="14" t="s">
        <v>26</v>
      </c>
      <c r="D125" s="15">
        <f>E125+F125+G125</f>
        <v>31</v>
      </c>
      <c r="E125" s="15">
        <v>31</v>
      </c>
      <c r="F125" s="14"/>
      <c r="G125" s="14"/>
      <c r="H125" s="3"/>
    </row>
    <row r="126" spans="1:7" s="1" customFormat="1" ht="12.75">
      <c r="A126" s="40"/>
      <c r="B126" s="13"/>
      <c r="C126" s="41"/>
      <c r="D126" s="42"/>
      <c r="E126" s="46"/>
      <c r="F126" s="95"/>
      <c r="G126" s="55"/>
    </row>
    <row r="127" spans="1:7" s="10" customFormat="1" ht="18.75" customHeight="1">
      <c r="A127" s="10" t="s">
        <v>38</v>
      </c>
      <c r="C127" s="32"/>
      <c r="F127" s="133" t="s">
        <v>47</v>
      </c>
      <c r="G127" s="133"/>
    </row>
    <row r="128" spans="1:7" s="4" customFormat="1" ht="25.5" customHeight="1">
      <c r="A128" s="31"/>
      <c r="B128" s="11"/>
      <c r="D128" s="11"/>
      <c r="E128" s="11"/>
      <c r="F128" s="11"/>
      <c r="G128" s="11"/>
    </row>
    <row r="129" spans="1:7" s="4" customFormat="1" ht="17.25" customHeight="1">
      <c r="A129" s="31"/>
      <c r="B129" s="11"/>
      <c r="D129" s="11"/>
      <c r="E129" s="11"/>
      <c r="F129" s="11"/>
      <c r="G129" s="11"/>
    </row>
    <row r="130" spans="1:7" s="4" customFormat="1" ht="12.75">
      <c r="A130" s="31"/>
      <c r="B130" s="11"/>
      <c r="D130" s="11"/>
      <c r="E130" s="11"/>
      <c r="F130" s="11"/>
      <c r="G130" s="11"/>
    </row>
  </sheetData>
  <sheetProtection/>
  <mergeCells count="68">
    <mergeCell ref="A119:A121"/>
    <mergeCell ref="A40:G40"/>
    <mergeCell ref="F127:G127"/>
    <mergeCell ref="E5:F5"/>
    <mergeCell ref="E6:F6"/>
    <mergeCell ref="E7:F7"/>
    <mergeCell ref="E9:G9"/>
    <mergeCell ref="E10:G10"/>
    <mergeCell ref="A13:G13"/>
    <mergeCell ref="A12:G12"/>
    <mergeCell ref="A15:A17"/>
    <mergeCell ref="B15:B17"/>
    <mergeCell ref="C15:C17"/>
    <mergeCell ref="D15:G15"/>
    <mergeCell ref="D16:D17"/>
    <mergeCell ref="E16:G16"/>
    <mergeCell ref="A19:G19"/>
    <mergeCell ref="A20:G20"/>
    <mergeCell ref="B21:B22"/>
    <mergeCell ref="A21:A39"/>
    <mergeCell ref="A41:G41"/>
    <mergeCell ref="B42:B43"/>
    <mergeCell ref="C42:C43"/>
    <mergeCell ref="D42:D43"/>
    <mergeCell ref="E42:E43"/>
    <mergeCell ref="F42:F43"/>
    <mergeCell ref="G42:G43"/>
    <mergeCell ref="A42:A54"/>
    <mergeCell ref="A60:G60"/>
    <mergeCell ref="A61:A62"/>
    <mergeCell ref="A63:G63"/>
    <mergeCell ref="A67:G67"/>
    <mergeCell ref="A64:A66"/>
    <mergeCell ref="A68:A70"/>
    <mergeCell ref="A71:G71"/>
    <mergeCell ref="A75:G75"/>
    <mergeCell ref="A79:G79"/>
    <mergeCell ref="A80:A81"/>
    <mergeCell ref="A72:A74"/>
    <mergeCell ref="A76:A78"/>
    <mergeCell ref="A83:G83"/>
    <mergeCell ref="A84:A85"/>
    <mergeCell ref="A94:G94"/>
    <mergeCell ref="A95:G95"/>
    <mergeCell ref="A105:A108"/>
    <mergeCell ref="A90:G90"/>
    <mergeCell ref="A92:A93"/>
    <mergeCell ref="A91:G91"/>
    <mergeCell ref="A86:H86"/>
    <mergeCell ref="A87:G87"/>
    <mergeCell ref="A117:G117"/>
    <mergeCell ref="A118:G118"/>
    <mergeCell ref="A109:G109"/>
    <mergeCell ref="A103:G103"/>
    <mergeCell ref="A104:G104"/>
    <mergeCell ref="A113:G113"/>
    <mergeCell ref="A114:G114"/>
    <mergeCell ref="A115:A116"/>
    <mergeCell ref="A122:H122"/>
    <mergeCell ref="A123:G123"/>
    <mergeCell ref="A124:A125"/>
    <mergeCell ref="A88:A89"/>
    <mergeCell ref="A99:H99"/>
    <mergeCell ref="A100:G100"/>
    <mergeCell ref="A101:A102"/>
    <mergeCell ref="A96:A98"/>
    <mergeCell ref="A110:G110"/>
    <mergeCell ref="A111:A112"/>
  </mergeCells>
  <printOptions/>
  <pageMargins left="0.984251968503937" right="0.3937007874015748" top="1.1811023622047245" bottom="0.3937007874015748" header="0.7874015748031497" footer="0"/>
  <pageSetup fitToHeight="25" horizontalDpi="600" verticalDpi="600" orientation="landscape" paperSize="9" scale="96" r:id="rId1"/>
  <headerFooter differentFirst="1" alignWithMargins="0">
    <oddHeader>&amp;C&amp;P</oddHeader>
  </headerFooter>
  <rowBreaks count="1" manualBreakCount="1">
    <brk id="7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G14" sqref="G14"/>
    </sheetView>
  </sheetViews>
  <sheetFormatPr defaultColWidth="9.140625" defaultRowHeight="12.75"/>
  <sheetData>
    <row r="2" spans="2:3" ht="12.75">
      <c r="B2" s="48">
        <v>2018</v>
      </c>
      <c r="C2" s="48">
        <v>2019</v>
      </c>
    </row>
    <row r="3" spans="1:3" ht="12.75">
      <c r="A3" s="50" t="s">
        <v>99</v>
      </c>
      <c r="B3" s="49">
        <v>1.0688</v>
      </c>
      <c r="C3" s="49">
        <v>1.052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2017-06-19T11:56:43Z</cp:lastPrinted>
  <dcterms:created xsi:type="dcterms:W3CDTF">1996-10-08T23:32:33Z</dcterms:created>
  <dcterms:modified xsi:type="dcterms:W3CDTF">2017-06-27T07:11:30Z</dcterms:modified>
  <cp:category/>
  <cp:version/>
  <cp:contentType/>
  <cp:contentStatus/>
</cp:coreProperties>
</file>