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власні надходж" sheetId="2" state="hidden" r:id="rId2"/>
    <sheet name="в т.ч.погашення" sheetId="3" state="hidden" r:id="rId3"/>
  </sheets>
  <definedNames>
    <definedName name="_xlnm.Print_Area" localSheetId="2">'в т.ч.погашення'!$A$1:$G$319</definedName>
    <definedName name="_xlnm.Print_Area" localSheetId="1">'власні надходж'!$A$1:$H$329</definedName>
    <definedName name="_xlnm.Print_Area" localSheetId="0">'лист'!$A$1:$G$318</definedName>
  </definedNames>
  <calcPr fullCalcOnLoad="1"/>
</workbook>
</file>

<file path=xl/sharedStrings.xml><?xml version="1.0" encoding="utf-8"?>
<sst xmlns="http://schemas.openxmlformats.org/spreadsheetml/2006/main" count="2056" uniqueCount="492">
  <si>
    <t xml:space="preserve">Програма створення та ведення містобудівного кадастру міста Запоріжжя, затверджена рішенням міської ради від                 №  </t>
  </si>
  <si>
    <t xml:space="preserve">Програма раціонального використання території та комплексного містобудівного розвитку міста , затверджена рішенням міської ради від     №   </t>
  </si>
  <si>
    <t xml:space="preserve">Міська програма "Розвиток культури і мистецтв у місті Запоріжжя на 2013-2015 роки", затверджена рішенням міської ради від         № </t>
  </si>
  <si>
    <t>Програма використання коштів депутатського фонду, затверджена рішенням міської ради від 30.01.2013 № 8 (зі змінами) - погашення заборгованості за минулий рік</t>
  </si>
  <si>
    <t xml:space="preserve">Міська програма "Поліпшення кінообслуговування населення міста Запоріжжя на 2013-2015 роки" затверджена рішенням міської ради від          №  </t>
  </si>
  <si>
    <t>"Програма надання медичної допомоги хворим на цукровий діабет" на період  2013-2015 років затверджена рішенням міської ради від 30.01.2013 № 21</t>
  </si>
  <si>
    <t xml:space="preserve">Міська цільова програма роботи і розвитку газети Запорізької міської ради "Запорозька Січ"(зі змінами), затверджена рішенням міської ради від     № </t>
  </si>
  <si>
    <t xml:space="preserve">Програма забезпечення проведення аукціонів з продажу права оренди та у власність земельних ділянок на території м.Запоріжжя, затверджена рішенням міської ради від     № </t>
  </si>
  <si>
    <t xml:space="preserve">обсяг власних надходжень,що включені до складу видатків </t>
  </si>
  <si>
    <t>-</t>
  </si>
  <si>
    <t>Програма "Освіта", затверджена рішенням міської ради від 31.01.2014 № 27</t>
  </si>
  <si>
    <t xml:space="preserve">Програма "Оздоровлення та відпочинок", затверджена рішенням міської ради від 31.01.2014 №27 </t>
  </si>
  <si>
    <t>Програма "Позашкільна освіта", затверджена рішенням міської ради від 31.01.2014 № 27</t>
  </si>
  <si>
    <t>Програма підтримки сім'ї та молоді м. Запоріжжя, затверджена рішенням міської ради від 31.01.2014 № 27</t>
  </si>
  <si>
    <t>Програма "Оздоровлення та відпочинок", затверджена рішенням міської ради від 31.01.2014 № 27</t>
  </si>
  <si>
    <t>Програма "Фізична культура та спорт", затверджена рішенням міської ради від 31.01.2014 № 27</t>
  </si>
  <si>
    <t>Програма економічного і соціального розвитку м.Запоріжжя на 2014 рік, затверджена рішенням міської ради від 31.01.2014 №4</t>
  </si>
  <si>
    <t>Програма "Фізична культура та спорт", затверджена рішенням міської ради від 31.01.2014 №27</t>
  </si>
  <si>
    <t>Програма "Про забезпечення екологічної безпеки міста на 2014-2016 роки", затверджена рішенням міської ради від    31.01.2014 № 8</t>
  </si>
  <si>
    <t>Цільова комплексна програма забезпечення молоді міста Запоріжжя житлом, затверджена рішенням міської ради від 31.01.2014 № 27</t>
  </si>
  <si>
    <t>"Програма надання медичної допомоги окремим верствам населення" на період  2013-2015 років, затверджена рішенням міської ради від 31.01.2014 № 26</t>
  </si>
  <si>
    <t>"Програма надання медичної допомоги хворим на цукровий діабет" на період  2013-2015 років, затверджена рішенням міської ради від 31.01.2014 № 26</t>
  </si>
  <si>
    <t>Міська комплексна програма соціального захисту населення міста Запоріжжя, затверджена рішенням міської ради від 31.01.2014 № 24</t>
  </si>
  <si>
    <t>Міська програма "Загальноміські святкові заходи та акції на 2014 рік", затверджена рішенням міської ради від 31.01.2014 №25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</si>
  <si>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№15 </t>
  </si>
  <si>
    <t xml:space="preserve">Програма забезпечення проведення аукціонів з продажу права оренди та у власність земельних ділянок на території м.Запоріжжя, затверджена рішенням міської ради від 31.01.2014 №21 </t>
  </si>
  <si>
    <t xml:space="preserve">Міська цільова програма запобігання і ліквідації надзвичайних ситуацій техногенного та природного характеру, організація рятування на водах на 2014-2016 роки, затверджена рішенням міської ради від 31.01.2014  №10 </t>
  </si>
  <si>
    <t xml:space="preserve">Міська цільова програма "Будівництво, реконструкція та ліквідація аварійного стану об'єктів міста Запоріжжя на 2014-2016 роки", затверджена рішенням міської ради від 31.01.2014 №5 </t>
  </si>
  <si>
    <t xml:space="preserve">Програма підтримки діяльності органів самоорганізації населення міста Запоріжжя, затверджена рішенням міської ради від 31.01.2014  №30 </t>
  </si>
  <si>
    <t xml:space="preserve"> Програма "Фінансування заходів з дератизації відкритих стацій та дезінсекції анофелогенних водоймищ м.Запоріжжя ", затверджена рішенням міської ради від 31.01.2014 №29 </t>
  </si>
  <si>
    <t>Програма "Освіта", затверджена рішенням міської ради від 31.01.2014 №27</t>
  </si>
  <si>
    <t>Міська комплексна програма соціального захисту населення міста Запоріжжя, затверджена рішенням міської ради від 31.01.2014 №24</t>
  </si>
  <si>
    <t>Програма зайнятості населення міста Запоріжжя на період до 2017 року, затверджена рішенням міської ради від 29.05.2013 №13 (зі змінами)</t>
  </si>
  <si>
    <t>Програма "Про забезпечення екологічної безпеки міста на 2014-2016 роки", затверджена рішенням міської ради від 31.01.2014 №8</t>
  </si>
  <si>
    <t xml:space="preserve">Програма підтримки діяльності органів самоорганізації населення міста Запоріжжя, затверджена рішенням міської ради від 31.01.2014 №30 </t>
  </si>
  <si>
    <t>Програма економічного і соціального розвитку м.Запоріжжя на 2014 рік, затверджена рішенням міської ради від   31.01.2014 №4</t>
  </si>
  <si>
    <t>Програма сприяння органів місцевого самоврядування призову громадян у 2013 році, затверджена рішенням міської ради від 23.02.2012 № 19 зі змінами (погашення заборгованості за минулий рік)</t>
  </si>
  <si>
    <t>Компенсаційні виплати на пільговий проїзд електротранспортом окремим категоріям громадян</t>
  </si>
  <si>
    <t>Фінансова підтримка об'єктів житлово-комунального господарства</t>
  </si>
  <si>
    <t>Програма "Організація та проведення заходів щодо відзначення загальнодержавних, міських та районних свят на 2014-2016 роки", затверджена рішенням міської ради від 31.01.2014 №28</t>
  </si>
  <si>
    <t>Міська цільова програма роботи і розвитку газети Запорізької міської ради "Запорозька Січ", затверджена рішенням міської ради від 30.01.2013 №14 (зі змінами)</t>
  </si>
  <si>
    <t xml:space="preserve"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30.01.2013 №11 (зі змінами)  </t>
  </si>
  <si>
    <t>Програма "Фінансова підтримка комунального спортивно-видовищного підприємства "Юність", затверджена рішенням міської ради від 31.01.2014 №27</t>
  </si>
  <si>
    <t>Програма економічного і соціального розвитку м.Запоріжжя на 2014 рік, затверджена рішенням міської ради від  31.01.2014 №4</t>
  </si>
  <si>
    <t>Міська програма "Розвиток культури і мистецтв у місті Запоріжжя на 2013-2015 роки", затверджена рішенням міської ради від 30.01.2013 №40 (зі змінами)</t>
  </si>
  <si>
    <t xml:space="preserve">Міська програма "Поліпшення кінообслуговування населення міста Запоріжжя на 2013-2015 роки", затверджена рішенням міської ради від 30.01.2013 №40 (зі змінами)  </t>
  </si>
  <si>
    <t>Міська програма "Оцінка вартості пам'яток історії та монументального мистецтва в місті Запоріжжя на 2014 рік"  затверджена рішенням міської ради від 31.01.2014 №25</t>
  </si>
  <si>
    <t>Програма проведення в м.Запоріжжі Покровського ярмарку, затверджена рішенням міської ради від 24.12.2012 № 35 зі змінами (у тому числі погашення заборгованості за минулий рік)</t>
  </si>
  <si>
    <t xml:space="preserve"> Програма сприяння розвитку малого та середнього підприємництва у місті Запоріжжі на 2013-2015 роки, затверджена рішенням міської ради від 25.02.2013 №21 зі змінами (в тому числі погашення заборгованості минулого року)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</si>
  <si>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№32 (зі змінами)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</si>
  <si>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№30 (зі змінами)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</si>
  <si>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 затверджена рішенням міської ради від 25.02.2013 №30 (зі змінами)</t>
  </si>
  <si>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</si>
  <si>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</si>
  <si>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</si>
  <si>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</si>
  <si>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</si>
  <si>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Централізовані бухгалтерії</t>
  </si>
  <si>
    <t>091209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</si>
  <si>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</si>
  <si>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</si>
  <si>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</si>
  <si>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</si>
  <si>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</si>
  <si>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</si>
  <si>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Кінематографія</t>
  </si>
  <si>
    <t>120100</t>
  </si>
  <si>
    <t>Телебачення та радіомовлення</t>
  </si>
  <si>
    <t>170102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</si>
  <si>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</si>
  <si>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</si>
  <si>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</si>
  <si>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</si>
  <si>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</si>
  <si>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</si>
  <si>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</si>
  <si>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</si>
  <si>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</si>
  <si>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</si>
  <si>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</si>
  <si>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</si>
  <si>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</si>
  <si>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</si>
  <si>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</si>
  <si>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</si>
  <si>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</si>
  <si>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</si>
  <si>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</si>
  <si>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</si>
  <si>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</si>
  <si>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</si>
  <si>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</si>
  <si>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</si>
  <si>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</si>
  <si>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</si>
  <si>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</si>
  <si>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</si>
  <si>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</si>
  <si>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</si>
  <si>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</si>
  <si>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</si>
  <si>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</si>
  <si>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</si>
  <si>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</si>
  <si>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</si>
  <si>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091108</t>
  </si>
  <si>
    <t>240900</t>
  </si>
  <si>
    <t>080101</t>
  </si>
  <si>
    <t>080300</t>
  </si>
  <si>
    <t>080500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</si>
  <si>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</si>
  <si>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</si>
  <si>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</si>
  <si>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</si>
  <si>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</si>
  <si>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</si>
  <si>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</si>
  <si>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</si>
  <si>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</si>
  <si>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</si>
  <si>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</si>
  <si>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</si>
  <si>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</si>
  <si>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</si>
  <si>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</si>
  <si>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</si>
  <si>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</si>
  <si>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</si>
  <si>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</si>
  <si>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</si>
  <si>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</si>
  <si>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</si>
  <si>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</si>
  <si>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</si>
  <si>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</si>
  <si>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</si>
  <si>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</si>
  <si>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</si>
  <si>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</si>
  <si>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</si>
  <si>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</si>
  <si>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</si>
  <si>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</si>
  <si>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</si>
  <si>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</si>
  <si>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130107</t>
  </si>
  <si>
    <t>080203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</si>
  <si>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</si>
  <si>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</si>
  <si>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</si>
  <si>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</si>
  <si>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</si>
  <si>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</si>
  <si>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Програма по похованню померлих безрідних та невідомих громадян міста на 2012-2014 роки</t>
  </si>
  <si>
    <t>70806</t>
  </si>
  <si>
    <t>Інші заклади освіти</t>
  </si>
  <si>
    <t xml:space="preserve">Програма підтримки муніципального кредитного рейтингу, затверджена рішенням міської ради від 31.01.2014  №6 </t>
  </si>
  <si>
    <t>Програма підтримки призову на військову строкову службу та забезпечення територіальної оборони міста на 2014 рік, затверджена рішенням міської ради від 10.09.2014 № 53</t>
  </si>
  <si>
    <t xml:space="preserve">Програма розвитку інфраструктури "Центрального парку культури та відпочинку "Дубовий гай" на 2014-2015 роки, затверджена рішенням міської ради від   .  .2014 № </t>
  </si>
  <si>
    <t>200200</t>
  </si>
  <si>
    <t>Охорона і раціональне використання земель</t>
  </si>
  <si>
    <t>Програма раціонального використання території та комплексного містобудівного розвитку міста , затверджена рішенням міської ради від 31.01.2014 №22  (зі змінами)</t>
  </si>
  <si>
    <t>Програма раціонального використання території та комплексного містобудівного розвитку міста , затверджена рішенням міської ради від 31.01.2014 № 22 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</si>
  <si>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№15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</si>
  <si>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 15 (зі змінами)</t>
  </si>
  <si>
    <t xml:space="preserve">Програма розвитку "Центрального парку культури та відпочинку "Дубовий гай" на 2014-2015 роки, затверджена рішенням міської ради від 05.11.2014 № 14 </t>
  </si>
  <si>
    <t xml:space="preserve">Програма "Про виконання вишукувальних робіт в районі б.Маркусова м.Запоріжжя на 2014 рік", затверджена рішенням міської ради від 05.11.2014 № 13 </t>
  </si>
  <si>
    <t>Програма реконструкції ринку Соцміста КП "Запоріжринок" по вул.Рекордній, 2  у м.Запоріжжя на 2014-2016 роки, затверджена рішенням міської ради від 31.01.2014 №16</t>
  </si>
  <si>
    <r>
      <t xml:space="preserve">                                     </t>
    </r>
    <r>
      <rPr>
        <b/>
        <u val="single"/>
        <sz val="22"/>
        <rFont val="Times New Roman"/>
        <family val="1"/>
      </rPr>
      <t>10.12.2014 №17</t>
    </r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</si>
  <si>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</si>
  <si>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</si>
  <si>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</si>
  <si>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Надання медичної допомоги населенню в міських лікарнях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</si>
  <si>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</si>
  <si>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</si>
  <si>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</si>
  <si>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</si>
  <si>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</si>
  <si>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</si>
  <si>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</si>
  <si>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</si>
  <si>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</si>
  <si>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</si>
  <si>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</si>
  <si>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</si>
  <si>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</si>
  <si>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</si>
  <si>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</si>
  <si>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</si>
  <si>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</si>
  <si>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</si>
  <si>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</si>
  <si>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</si>
  <si>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</si>
  <si>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</si>
  <si>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</si>
  <si>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</si>
  <si>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</si>
  <si>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</si>
  <si>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</si>
  <si>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</si>
  <si>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</si>
  <si>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</si>
  <si>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110201</t>
  </si>
  <si>
    <t>Бібліотеки</t>
  </si>
  <si>
    <t>091204</t>
  </si>
  <si>
    <t>Територіальні центри соціального обслуговування (надання соціальних послуг)</t>
  </si>
  <si>
    <t>010116</t>
  </si>
  <si>
    <t>Органи місцевого самоврядування</t>
  </si>
  <si>
    <t>110205</t>
  </si>
  <si>
    <t>Школи естетичного виховання дітей</t>
  </si>
  <si>
    <t>110204</t>
  </si>
  <si>
    <t>Палаци і будинки культури, клуби та інші заклади клубного типу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</si>
  <si>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</si>
  <si>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</si>
  <si>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Управління розвитку підприємництва та дозвільних послуг Запорізької міської ради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</si>
  <si>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</si>
  <si>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</si>
  <si>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</si>
  <si>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</si>
  <si>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</si>
  <si>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</si>
  <si>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</si>
  <si>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</si>
  <si>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33</t>
  </si>
  <si>
    <t>Управління реєстрації та єдиного реєстру Запорізької міської ради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</si>
  <si>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</si>
  <si>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</si>
  <si>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</si>
  <si>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</si>
  <si>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</si>
  <si>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</si>
  <si>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</si>
  <si>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</si>
  <si>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</si>
  <si>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76</t>
  </si>
  <si>
    <t>Обслуговування  боргу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</si>
  <si>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</si>
  <si>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підтримки громадських ініціатив в м.Запоріжжі на 2012 рік</t>
  </si>
  <si>
    <t xml:space="preserve">                                     Додаток 8</t>
  </si>
  <si>
    <t xml:space="preserve">                                     до рішення міської ради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</si>
  <si>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</si>
  <si>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</si>
  <si>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</si>
  <si>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</si>
  <si>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</si>
  <si>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Житлове будівництво та придбання житла для окремих категорій населення</t>
  </si>
  <si>
    <t>"Програма розвитку охорони здоров'я міста Запоріжжя" на період 2013-2015 роки, затверджена рішенням міської ради від 31.01.2014 № 26 (зі змінами)</t>
  </si>
  <si>
    <r>
      <t xml:space="preserve">Програма розвитку земельних відносин у місті Запоріжжя на 2014 рік, затверджена рішенням </t>
    </r>
    <r>
      <rPr>
        <sz val="11"/>
        <rFont val="Times New Roman"/>
        <family val="1"/>
      </rPr>
      <t>міської ради від 26.03.2014 № 7</t>
    </r>
  </si>
  <si>
    <t>Програма  використання коштів цільового фонду міської ради на 2014 рік, затверджена рішенням міської ради від 31.01.2014 №7 (зі змінами)</t>
  </si>
  <si>
    <t>180410</t>
  </si>
  <si>
    <t>Інші заходи, пов'язані з економічною діяльністю</t>
  </si>
  <si>
    <t>170103</t>
  </si>
  <si>
    <t>Інші заходи у сфері автомобільного транспорту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</si>
  <si>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31.01.2014 №12 (зі змінами)</t>
  </si>
  <si>
    <t>Програма створення та ведення містобудівного кадастру міста Запоріжжя, затверджена рішенням міської ради від 31.01.2014 №20 (зі змінами)</t>
  </si>
  <si>
    <t>Програма "Фінансування заходів із придбання житла для окремих категорій населення у 2012 році"</t>
  </si>
  <si>
    <t>інші видатки</t>
  </si>
  <si>
    <t>150107</t>
  </si>
  <si>
    <t>Житлове будівництво і придбання житла 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</si>
  <si>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Фінансування енергозберігаючих заходів</t>
  </si>
  <si>
    <t>171000</t>
  </si>
  <si>
    <t>Діяльність і послуги, не віднесені до інших категорій</t>
  </si>
  <si>
    <t>100101</t>
  </si>
  <si>
    <t>Житлово-експлуатаційне господарство</t>
  </si>
  <si>
    <t>Підтримка малого і середнього підприємництва</t>
  </si>
  <si>
    <t xml:space="preserve">Видатки на запобігання та ліквідацію надзвичайних ситуацій та наслідків стихійного лиха </t>
  </si>
  <si>
    <t>Компенсацйні виплати на пільговий проїзд електротранспортом окремим категоріям громадян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</si>
  <si>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</si>
  <si>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Управління комунального господарства та дорожнього будівництва Запорізької міської ради</t>
  </si>
  <si>
    <t>41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</si>
  <si>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</si>
  <si>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Департамент житлово-комунального господарства Запорізької міської ради</t>
  </si>
  <si>
    <t xml:space="preserve">Програма розвитку та утримання житлово-комунального господарства м.Запоріжжя на 2013-2015 роки </t>
  </si>
  <si>
    <t>Програма "Освіта"</t>
  </si>
  <si>
    <t>Міська комплексна програма соціального захисту населення міста Запоріжжя</t>
  </si>
  <si>
    <t>Перинатальні центри, пологові будинки</t>
  </si>
  <si>
    <t>Забезпечення централізованих заходів з лікування хворих на цукровий та нецукровий діабет</t>
  </si>
  <si>
    <t>Програма розвитку та утримання житлово-комунального господарства м.Запоріжжя на 2013-2015 роки ( в тому числі погашення заборгованості минулого року)</t>
  </si>
  <si>
    <t xml:space="preserve">Компенсаційні виплати на пільговий проїзд автомобільним транспортом окремим категоріям громадян </t>
  </si>
  <si>
    <t>Компенсаційні виплати на пільговий проїзд окремих категорій громадян на водному транспорті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</si>
  <si>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</si>
  <si>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</si>
  <si>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Соціальні програми і заходи державних органів у справах молоді</t>
  </si>
  <si>
    <t>130112</t>
  </si>
  <si>
    <t>130106</t>
  </si>
  <si>
    <t>Проведення навчально-тренувальних зборів і змагань з неолімпійських видів спорту</t>
  </si>
  <si>
    <t>Програма підтримки сім'ї та молоді м. Запоріжжя, затверджена рішенням міської ради від 25.02.2013 № 25</t>
  </si>
  <si>
    <t>Програма "Фізична культура та спорт", затверджена рішенням міської ради від 25.02.2013 № 25</t>
  </si>
  <si>
    <t>"Програма надання медичної допомоги окремим верствам населення" на період  2013-2015 роківзатверджена рішенням міської ради від 30.01.2013 № 21</t>
  </si>
  <si>
    <t>"Програма надання медичної допомоги хворим на цукровий діабет" на період  2013-2015 роківзатверджена рішенням міської ради від 30.01.2013 № 21</t>
  </si>
  <si>
    <t xml:space="preserve">Міська комплексна програма соціального захисту населення міста Запоріжжя затверджена рішенням міської ради від 30.01.2013 № 24 </t>
  </si>
  <si>
    <t xml:space="preserve">Міська комплексна програма соціального захисту населення міста Запоріжжязатверджена рішенням міської ради від 30.01.2013 № 24 </t>
  </si>
  <si>
    <t>Міська програма "Розвиток культури і мистецтв у місті Запоріжжя на 2013-2015 роки", затверджена рішенням міської ради від 30.01.2013 № 40</t>
  </si>
  <si>
    <t>Міська програма "Розвиток культури і мистецтв у місті Запоріжжя на 2013-2015 роки" затверджена рішенням міської ради від 30.01.2013 № 40</t>
  </si>
  <si>
    <t>Міська програма "Поліпшення кінообслуговування населення міста Запоріжжя на 2013-2015 роки" затверджена рішенням міської ради від 30.01.2013 № 40</t>
  </si>
  <si>
    <t>Міська програма "Оцінка вартості пам'яток історії та монументального мистецтва в місті Запоріжжя на 2013 рік"  затверджена рішенням міської ради від 30.01.2013 № 40</t>
  </si>
  <si>
    <t>Програма проведення в м.Запоріжжі Покровського ярмарку, затверджена рішенням міської ради від 24.12.2012 № 35</t>
  </si>
  <si>
    <t>Програма економічного і соціального розвитку м.Запоріжжя на 2013 рік, затверджена рішенням міської ради від 24.12.2012 № 8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</si>
  <si>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 30</t>
  </si>
  <si>
    <t>Програма підтримки діяльності органів самоорганізації населення міста Запоріжжя, затверджена рішенням міської ради від 30.01.2013 № 26</t>
  </si>
  <si>
    <t>Міська цільова програма забезпечення погашення заборгованості при реалізації Програми придбання житла для воїнів-інтернаціоналістів у 2012 році, затверджена рішенням міської ради від 30.01.2013 № 13</t>
  </si>
  <si>
    <t>Програма "Фінансова підтримка комунального спортивно-видовищного підприємства "Юність", затверджена рішенням міської ради від 30.01.2013 № 25</t>
  </si>
  <si>
    <t>Міська цільова Програма "Фінансова допомога комунальному підприємству "Управління капітального будівництва" у 2013 році", затверджена рішенням міської ради від 30.01.2013 № 6</t>
  </si>
  <si>
    <t>Міська цільова Програма "Фінансування заходів з дератизації відкритих стацій та дезінсекції анофелогенних водоймищ м.Запоріжжя на 2013 рік", затверджена рішенням міської ради від 30.01.2013 № 41</t>
  </si>
  <si>
    <t>Програма "Здійснення заходів щодо проведення незалежної оцінки об'єктів м.Запоріжжя на 2012 рік" (погашення заборгованості минулого року), затверджена рішенням міської ради від 23.02.2013 № 52</t>
  </si>
  <si>
    <t>Програма сприяння діяльності ветеранів спорту у здійсненні фізкультурно-спортивних заходів на 2013 рік, затверджена рішенням міської ради від 25.02.2013 № 51</t>
  </si>
  <si>
    <t>100106</t>
  </si>
  <si>
    <t>Капітальний ремонт житлового фонду об'єднань співвласників багатоквартирних будинків</t>
  </si>
  <si>
    <t>Програма сприяння органів місцевого самоврядування призову громадян у 2013 році, затверджена рішенням міської ради від 23.02.2012 № 19 (зі змінами)</t>
  </si>
  <si>
    <t>Програма "Позашкільна освіта", затверджена рішенням міської ради від 25.02.2013 № 25 (зі змінами)</t>
  </si>
  <si>
    <t>Програма використання коштів депутатського фонду, затверджена рішенням міської ради від 30.01.2013 № 8 (зі змінами)</t>
  </si>
  <si>
    <t>Програма розвитку туризму у місті Запоріжжя на 2014 - 2016 роки, затверджена рішенням міської ради від 23.04.2014 № 20</t>
  </si>
  <si>
    <t>Міська цільова програма "Організація перевезень мешканців міста Запоріжжя, які мають пільги на проїзд в пасажирському автомобільному транспорті, до садово-городніх ділянок у сезон 2014 року", затверджена рішенням міської ради від 23.04.2014 № 26</t>
  </si>
  <si>
    <t>Міська цільова програма відзначення в м.Запоріжжі державних пам"ятних дат та історичних подій у 2014 році, затверджена рішенням міської ради від 23.04.2014 № 17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</si>
  <si>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м.Запоріжжя на 2014 - 2016 роки, затверджена рішенням міської ради від 23.04.2014  № 11</t>
  </si>
  <si>
    <t>Утримання центрів соціальних служб для сім"ї, дітей та молоді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</si>
  <si>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, затверджена рішенням міської ради від 25.02.2013 №14 (зі змінами)</t>
  </si>
  <si>
    <t xml:space="preserve">Програма використання коштів депутатського фонду у 2014 році, затверджена рішенням міської ради від 31.01.2014 №48 (зі змінами) </t>
  </si>
  <si>
    <t>Програма економічного і соціального розвитку м.Запоріжжя на 2013 рік, затверджена рішенням міської ради від 24.12.2012 № 8 (зі змінами)</t>
  </si>
  <si>
    <t>Міська цільова програма впровадження та забезпечення працездатності систем об'єктивного відеоспостередження у м.Запоріжжі, затверджена рішенням міської ради від 24.12.2012 №15 (зі змінами)</t>
  </si>
  <si>
    <t>Програма реконструкція об'єктів соціальної сфери міста Запоріжжя на 2012-2014 роки, затверджена рішенням міської ради від 24.12.2012 № 43 (зі змінами)</t>
  </si>
  <si>
    <t>Програма розвитку та утримання житлово-комунального господарства м.Запоріжжя на 2013-2015 роки, затверджена рішенням міської ради від 30.01.2013 № 17 (зі змінами)</t>
  </si>
  <si>
    <t>Міська цільова програма запобігання та ліквідації надзвичайних ситуацій техногенного та природного характеру, організація рятування на водах на 2013-2015 роки, затверджена рішенням міської ради від 30.01.2013 № 16 (зі змінами)</t>
  </si>
  <si>
    <t>Міська цільова Програма "Будівництво, реконструкція та ліквідація аварійного стану об'єктів міста Запоріжжя на 2013-2015 роки", затверджена рішенням міської ради від 30.01.2013 № 6 (зі змінами)</t>
  </si>
  <si>
    <t>Програма "Організація та проведення заходів щодо відзначення загальнодержавних, міських та районних свят на 2013 рік", затверджена рішенням міської ради від 27.03.2013   № 8</t>
  </si>
  <si>
    <t>Програма "Освіта", затверджена рішенням міської ради від 25.02.2013 № 25 (зі змінами)</t>
  </si>
  <si>
    <t>Методична робота, інші заходи у сфері народної освіти</t>
  </si>
  <si>
    <t>070802</t>
  </si>
  <si>
    <t>070805</t>
  </si>
  <si>
    <t>Групи централізованого господарського обслуговування</t>
  </si>
  <si>
    <t>Програма "Оздоровлення та відпочинок", затверджена рішенням міської ради від 25.02.2013 № 25 (зі змінами)</t>
  </si>
  <si>
    <t>Програма  використання коштів цільового фонду міської ради на 2013 рік, затверджена рішенням міської ради від 24.12.2012 № 12 (зі змінами)</t>
  </si>
  <si>
    <t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30.01.2013 № 20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</si>
  <si>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 13</t>
  </si>
  <si>
    <t>070804</t>
  </si>
  <si>
    <t>Централізовані бухгалтерії обласних, міських, районних відділів освіти</t>
  </si>
  <si>
    <t>080800</t>
  </si>
  <si>
    <t>Центри первинної медичної (медико-санітарної) допомоги</t>
  </si>
  <si>
    <t>100209</t>
  </si>
  <si>
    <r>
      <t>Заходи, пов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язані з поліпшенням питної води</t>
    </r>
  </si>
  <si>
    <t>Інші субвенції</t>
  </si>
  <si>
    <t xml:space="preserve">Програма "Про забезпечення екологічної безпеки міста на 2013-2015 роки", затверджена рішенням міської ради від 24.12.2012 № 23 (зі змінами) </t>
  </si>
  <si>
    <t>Програма забезпечення проведення аукціонів з продажу права оренди та у власність земельних ділянок на території м.Запоріжжя на 2013-2015 роки, затверджена рішенням міської ради від 24.12.2012 № 84</t>
  </si>
  <si>
    <t>"Програма розвитку охорони здоров'я міста Запоріжжя" на період 2013-2015 роки, затверджена рішенням міської ради від 30.01.2013 № 21 (зі змінами)</t>
  </si>
  <si>
    <t>Програма "Розвитку ендопротезування великих суглобів в місті Запоріжжі на 2013-2017 роки"затверджена рішенням міської ради від 24.12.2012 № 54</t>
  </si>
  <si>
    <t>26</t>
  </si>
  <si>
    <t>Відділ охорони культурної спадщини Запорізької міської ради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</si>
  <si>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 32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</si>
  <si>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№13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</si>
  <si>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25.02.2013 №14</t>
  </si>
  <si>
    <t>Міська програма "Загальноміські святкові заходи та акції на 2013 рік" затверджена рішенням міської ради від 30.01.2013 №40</t>
  </si>
  <si>
    <t>Програма економічного і соціального розвитку м.Запоріжжя на 2013 рік, затверджена рішенням міської ради від 24.12.2012 №8 (зі змінами)</t>
  </si>
  <si>
    <t>Програма розвитку земельних відносин у місті Запоріжжя на 2013 рік, затверджена рішенням міської ради від 25.02.2013 №26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</si>
  <si>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</si>
  <si>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</si>
  <si>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</t>
  </si>
  <si>
    <t>Програма зайнятості населення міста Запоріжжя на період до 2017 року, затверджена рішенням міської ради від 29.05.2013 № 13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</si>
  <si>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 (зі змінами)</t>
  </si>
  <si>
    <t xml:space="preserve">                                     ___________ № _________</t>
  </si>
  <si>
    <t>Програма "Фінансова підтримка КНВП "Екоцентр" на погашення податкового боргу на 2013 рік", затверджена рішенням міської ради від 27.03.2013 № 34</t>
  </si>
  <si>
    <t>Програма створення та ведення містобудівного кадастру міста Запоріжжя на 2013-2015 роки, затверджена рішенням міської ради від 25.02.2013 № 28 (зі змінами)</t>
  </si>
  <si>
    <t>Програма раціонального використання території та комплексного містобудівного розвитку міста на 2013-2015 роки, затверджена рішенням міської ради від 25.02.2013 № 27 (зі змінами)</t>
  </si>
  <si>
    <t>Програма обслуговування боргу бюджету міста та підтримки муніципального кредитного рейтингу, затверджена рішенням міської ради від 25.02.2013 № 11 (зі змінами)</t>
  </si>
  <si>
    <t>Програма розвитку та утримання житлово-комунального господарства м.Запоріжжя на 2014-2016 роки, затверджена рішенням міської ради від 31.01.2014 № 9 (зі змінами)</t>
  </si>
  <si>
    <t>Програма розвитку та утримання житлово-комунального господарства м.Запоріжжя на 2014-2016 роки, затверджена рішенням міської ради від 31.01.2014 №9 (зі змінами)</t>
  </si>
  <si>
    <t>Міська цільова програма надання фінансової підтримки комунальному підприємству "Центр управління інформаційними техннологіями на 2013 рік", затверджена рішенням міської ради від 29.11.2013 № 45</t>
  </si>
  <si>
    <t>Програма економічного і соціального розвитку м.Запоріжжя на 2014 рік (в тому числі погашення заборгованості минулого року)</t>
  </si>
  <si>
    <t>Міська цільова програма впровадження та забезпечення працездатності систем об'єктивного відеоспостередження у м.Запоріжжі (в тому числі погашення заборгованості минулого року)</t>
  </si>
  <si>
    <t>Програма використання коштів депутатського фонду ( в тому числі погашення заборгованості минулого року)</t>
  </si>
  <si>
    <t>Міська цільова програма роботи й розвитку газети Запорізької міської ради "Запорозька Січ" (в тому числі погашення заборгованості минулого року)</t>
  </si>
  <si>
    <t>Програма  використання коштів цільового фонду міської ради на 2014 рік (в тому числі погашення кредиторської заборгованості минулого року)</t>
  </si>
  <si>
    <t>Міська цільова програма надання автотранспортних та господарських послуг структурним підрозділам та виконавчому комітету міської ради ( в тому числі погашення кредиторської заборгованості)</t>
  </si>
  <si>
    <t>Програма "Освіта" (в тому числі погашення кредиторської заборгованості)</t>
  </si>
  <si>
    <t>Програма "Позашкільна освіта" (в тому числі погашення кредиторської заборгованості)</t>
  </si>
  <si>
    <t>Програма "Фізична культура та спорт" (в тому числі погашення заборгованості минулого року)</t>
  </si>
  <si>
    <t>Програма підтримки сім'ї та молоді м. Запоріжжя ( в тому числі погашення кредиторської заборгованості)</t>
  </si>
  <si>
    <t>Програма "Фізична культура та спорт"(в тому сичлі погашення кредиторської заборгованості)</t>
  </si>
  <si>
    <t>Програма "Про забезпечення екологічної безпеки міста на 2013-2015 роки" ( в тому числі погашення заборгованості минулого року)</t>
  </si>
  <si>
    <t>"Програма розвитку охорони здоров'я міста Запоріжжя" на період 2013-2015 років (в тому числі погашення заборгованості минулого року)</t>
  </si>
  <si>
    <t>Міська комплексна програма соціального захисту населення міста Запоріжжя (в тому числі погашення заборгованості минулого року)</t>
  </si>
  <si>
    <t>Програма "Здійснення соціальної роботи з дітьми, молоддю та сім'ями м. Запоріжжя, які опинились у складних життєвих обставинах та потребують сторонньої допомоги" (в тому числі погашення заборгованості минулого року)</t>
  </si>
  <si>
    <t>Міська програма "Розвиток культури і мистецтв у місті Запоріжжя на 2013-2015 роки"  (в тому числі погашення  заборгованості минулого року)</t>
  </si>
  <si>
    <t>Міська програма "Розвиток культури і мистецтв у місті Запоріжжя на 2013-2015 роки"  (в тому числі погашення заборгованості минулого року)</t>
  </si>
  <si>
    <t>Програма реконструкції ринку Соцміста КП "Запоріжринок" по вул.Рекордна, 2  у м.Запоріжжя на 2014 рік (в тому числі погашення забргованості минулого року)</t>
  </si>
  <si>
    <t xml:space="preserve"> Програма сприяння розвитку малого та середнього підприємництва у місті Запоріжжі на 2013-2015 роки ( в тому числі погашення заборгованості минулого року)</t>
  </si>
  <si>
    <t>Міська цільова програма житлового будівництва та придбання житла для окремих категорій населення на 2013-2015 роки ( в тому числі погашення заборгованості минулого року)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</si>
  <si>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2013-2015 року ( в тому числі погашення заборгованості минулого року)</t>
  </si>
  <si>
    <t>Міська цільова програма підвищення ефективності та посилення контролю за станом громадського порядку (в тому числі погашення заборгованості минулого року)</t>
  </si>
  <si>
    <t>Перелік місцевих програм, які фінансуватимуться за рахунок коштів бюджету міста у 2014 році</t>
  </si>
  <si>
    <t xml:space="preserve">Програма "Організація та проведення заходів щодо відзначення загальнодержавних, міських та районних свят ", затверджена рішенням міської ради від     № </t>
  </si>
  <si>
    <t xml:space="preserve">Програма підтримки діяльності органів самоорганізації населення міста Запоріжжя, затверджена рішенням міської ради від       № </t>
  </si>
  <si>
    <t>Програма сприяння органів місцевого самоврядування призову громадян у 2013 році, затверджена рішенням міської ради від 23.02.2012 № 19 зі змінами (у тому числі погашення заборгованості за минулий рік)</t>
  </si>
  <si>
    <t>Програма проведення в м.Запоріжжі Покровського ярмарку, затверджена рішенням міської ради від 24.12.2012 № 35 зі змінами ( у тому числі погашення заборгованості за минулий рік)</t>
  </si>
  <si>
    <t>Програма зайнятості населення міста Запоріжжя на період до 2017 року, затверджена рішенням міської ради від 29.05.2013 № 13 (зі змінами)</t>
  </si>
  <si>
    <t>комітети</t>
  </si>
  <si>
    <t>призов</t>
  </si>
  <si>
    <t>свята</t>
  </si>
  <si>
    <t>дератизація</t>
  </si>
  <si>
    <t>інвентариз</t>
  </si>
  <si>
    <t>охорона</t>
  </si>
  <si>
    <t xml:space="preserve">Програма підтримки муніципального кредитного рейтингу, затверджена рішенням міської ради від   № </t>
  </si>
  <si>
    <t xml:space="preserve">Програма "Про забезпечення екологічної безпеки міста на 2014-2016 роки", затверджена рішенням міської ради від     № </t>
  </si>
  <si>
    <t>ярмарка</t>
  </si>
  <si>
    <t>зайнятість</t>
  </si>
  <si>
    <t xml:space="preserve">спец не считает </t>
  </si>
  <si>
    <t xml:space="preserve">рейтинг </t>
  </si>
  <si>
    <t xml:space="preserve"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   №  </t>
  </si>
  <si>
    <t>автогосп</t>
  </si>
  <si>
    <t xml:space="preserve">Програма  використання коштів цільового фонду міської ради на 2014 рік, затверджена рішенням міської ради від  № </t>
  </si>
  <si>
    <t xml:space="preserve">Програма  використання коштів цільового фонду міської ради на 2014 рік, затверджена рішенням міської ради від № </t>
  </si>
  <si>
    <t>газета СІЧ</t>
  </si>
  <si>
    <t>Міська цільова програма впровадження та забезпечення працездатності систем об'єктивного відео спостереження у м.Запоріжжі, затверджена рішенням міської ради від     №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</si>
  <si>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      №</t>
  </si>
  <si>
    <t>асоціація городов</t>
  </si>
  <si>
    <t>відео спостереж</t>
  </si>
  <si>
    <t>телеканал МТМ</t>
  </si>
  <si>
    <t>сприяння підприємництво</t>
  </si>
  <si>
    <t>целевой фонд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</si>
  <si>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№  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</si>
  <si>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          № </t>
  </si>
  <si>
    <t>070803</t>
  </si>
  <si>
    <t>раціон використ</t>
  </si>
  <si>
    <t>аукціони</t>
  </si>
  <si>
    <t>кадастр</t>
  </si>
  <si>
    <t xml:space="preserve"> Програма "Фінансування заходів з дератизації відкритих стацій та дезінсекції анофелогенних водоймищ м.Запоріжжя ", затверджена рішенням міської ради від     № </t>
  </si>
  <si>
    <t>розв і утриман ЖКХ</t>
  </si>
  <si>
    <t>освіта</t>
  </si>
  <si>
    <t>оздор та відпочинок</t>
  </si>
  <si>
    <t>позашкільна</t>
  </si>
  <si>
    <t>фізкультура</t>
  </si>
  <si>
    <t>підтримка сімї та молоді</t>
  </si>
  <si>
    <t>розв ОХОРОНИ ЗДОРОВЯ</t>
  </si>
  <si>
    <t>розв КУЛЬТУРИ і Мистецтв</t>
  </si>
  <si>
    <t>кінообслуговування</t>
  </si>
  <si>
    <t>святкові заходи та акції</t>
  </si>
  <si>
    <t>МКП  соцзахисту</t>
  </si>
  <si>
    <t>реконструк обєктів соц сфери</t>
  </si>
  <si>
    <t>ЗапоріжЕлектроТранс</t>
  </si>
  <si>
    <t>АЕРОПОРТ</t>
  </si>
  <si>
    <t>безпека дорож руху на шляхах</t>
  </si>
  <si>
    <t>ЕКОбезпека</t>
  </si>
  <si>
    <t xml:space="preserve"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     № 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</si>
  <si>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    №</t>
  </si>
  <si>
    <t>150202</t>
  </si>
  <si>
    <t xml:space="preserve">Міська комплексна програма соціального захисту населення міста Запоріжжя, затверджена рішенням міської ради від      №   </t>
  </si>
  <si>
    <t xml:space="preserve">Міська комплексна програма соціального захисту населення міста Запоріжжя, затверджена рішенням міської ради від     №   </t>
  </si>
  <si>
    <t>Програма реконструкції ринку Соцміста КП "Запоріжринок" по вул.Рекордній, 2  у м.Запоріжжя на 2014 рік, затверджена рішенням міської ради від      №</t>
  </si>
  <si>
    <t>Міська цільова програма підвищення ефективності та посилення контролю за станом громадського порядку, затверджена рішенням міської ради від 24.04.2013 №38 (у тому числі погашення заборгованості минулого року)</t>
  </si>
  <si>
    <t>Розробка схем та проектних рішень масового застосування</t>
  </si>
  <si>
    <t>Програма економічного і соціального розвитку м.Запоріжжя на 2014 рік, затверджена рішенням міської ради від      №</t>
  </si>
  <si>
    <t xml:space="preserve">"Програма розвитку охорони здоров'я міста Запоріжжя" на період 2014-2016 роки, затверджена рішенням міської ради від     № </t>
  </si>
  <si>
    <t>081003</t>
  </si>
  <si>
    <t>Служби технічного нагляду за будівництвом та капітальним ремонтом, централізовані бухгалтерії,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</si>
  <si>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№ </t>
  </si>
  <si>
    <t>100103</t>
  </si>
  <si>
    <t>Фінансова підтримка обєктів житлово-комунального господарства</t>
  </si>
  <si>
    <t xml:space="preserve"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2014-2016 рік затвердженого рішенням міської ради від     №  </t>
  </si>
  <si>
    <t xml:space="preserve"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    №  </t>
  </si>
  <si>
    <t xml:space="preserve"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   №  </t>
  </si>
  <si>
    <t xml:space="preserve">Міська цільова програма запобігання та ліквідації надзвичайних ситуацій техногенного та природного характеру, організація рятування на водах на 2014-2016 роки, затверджена рішенням міської ради від      № </t>
  </si>
  <si>
    <t xml:space="preserve">Міська цільова Програма "Будівництво, реконструкція та ліквідація аварійного стану об'єктів міста Запоріжжя на 2014-2016 роки", затверджена рішенням міської ради від      № </t>
  </si>
  <si>
    <t>Цільова комплексна програма забезпечення молоді міста Запоріжжя житлом, затверджена рішенням міської ради від      №</t>
  </si>
  <si>
    <t xml:space="preserve">Програма "Освіта", затверджена рішенням міської ради від            № </t>
  </si>
  <si>
    <t xml:space="preserve">Програма "Позашкільна освіта", затверджена рішенням міської ради від             № </t>
  </si>
  <si>
    <t xml:space="preserve">Програма "Фізична культура та спорт", затверджена рішенням міської ради від             № </t>
  </si>
  <si>
    <t xml:space="preserve">Програма "Освіта", затверджена рішенням міської ради від       № </t>
  </si>
  <si>
    <t xml:space="preserve">Програма "Позашкільна освіта", затверджена рішенням міської ради від          № </t>
  </si>
  <si>
    <t xml:space="preserve">Програма "Фізична культура та спорт", затверджена рішенням міської ради від        № </t>
  </si>
  <si>
    <t xml:space="preserve">Міська комплексна програма соціального захисту населення міста Запоріжжя, затверджена рішенням міської ради від       № </t>
  </si>
  <si>
    <t xml:space="preserve">Міська комплексна програма соціального захисту населення міста Запоріжжя, затверджена рішенням міської ради від          № </t>
  </si>
  <si>
    <t xml:space="preserve">Міська комплексна програма соціального захисту населення міста Запоріжжя, затверджена рішенням міської ради від            № </t>
  </si>
  <si>
    <t>Міська програма "Загальноміські святкові заходи та акції на 2014 рік" затверджена рішенням міської ради від        №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</si>
  <si>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</si>
  <si>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</si>
  <si>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</si>
  <si>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</si>
  <si>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</si>
  <si>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№ </t>
  </si>
  <si>
    <t xml:space="preserve">Міська цільова програма житлового будівництва та придбання житла для окремих категорій населення на 2014-2016 роки, затверджена рішенням міської ради від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</si>
  <si>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</si>
  <si>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№ </t>
  </si>
  <si>
    <t xml:space="preserve">Програма "Освіта", затверджена рішенням міської ради від          №   </t>
  </si>
  <si>
    <t xml:space="preserve">Програма "Оздоровлення та відпочинок", затверджена рішенням міської ради від           №  </t>
  </si>
  <si>
    <t>Програма "Позашкільна освіта", затверджена рішенням міської ради від            №</t>
  </si>
  <si>
    <t xml:space="preserve">Програма "Оздоровлення та відпочинок", затверджена рішенням міської ради від             №  </t>
  </si>
  <si>
    <t>Програма "Фізична культура та спорт", затверджена рішенням міської ради від               №</t>
  </si>
  <si>
    <t xml:space="preserve">Програма підтримки сім'ї та молоді м. Запоріжжя, затверджена рішенням міської ради від              № </t>
  </si>
  <si>
    <t xml:space="preserve">Програма "Фінансова підтримка комунального спортивно-видовищного підприємства "Юність", затверджена рішенням міської ради від          № </t>
  </si>
  <si>
    <t xml:space="preserve">Програма "Фізична культура та спорт", затверджена рішенням міської ради від                  № </t>
  </si>
  <si>
    <t xml:space="preserve">Міська програма "Оцінка вартості пам'яток історії та монументального мистецтва в місті Запоріжжя на 2014 рік"  затверджена рішенням міської ради від            № </t>
  </si>
  <si>
    <t>Міська програма "Загальноміські святкові заходи та акції на 2014 рік" затверджена рішенням міської ради від     №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</si>
</sst>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sz val="12"/>
      <color indexed="61"/>
      <name val="Times New Roman"/>
      <family val="1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12"/>
      <color indexed="56"/>
      <name val="Times New Roman"/>
      <family val="1"/>
    </font>
    <font>
      <sz val="12"/>
      <color indexed="14"/>
      <name val="Times New Roman"/>
      <family val="1"/>
    </font>
    <font>
      <sz val="12"/>
      <color indexed="18"/>
      <name val="Times New Roman"/>
      <family val="1"/>
    </font>
    <font>
      <sz val="12"/>
      <color indexed="62"/>
      <name val="Times New Roman"/>
      <family val="1"/>
    </font>
    <font>
      <sz val="12"/>
      <color indexed="36"/>
      <name val="Times New Roman"/>
      <family val="1"/>
    </font>
    <font>
      <sz val="12"/>
      <color indexed="9"/>
      <name val="Times New Roman"/>
      <family val="1"/>
    </font>
    <font>
      <sz val="8"/>
      <name val="Arial"/>
      <family val="2"/>
    </font>
    <font>
      <sz val="12"/>
      <color indexed="30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 wrapText="1"/>
    </xf>
    <xf numFmtId="0" fontId="7" fillId="0" borderId="0" xfId="0" applyFont="1" applyAlignment="1">
      <alignment/>
    </xf>
    <xf numFmtId="1" fontId="1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1" fontId="13" fillId="0" borderId="0" xfId="0" applyNumberFormat="1" applyFont="1" applyAlignment="1">
      <alignment wrapText="1"/>
    </xf>
    <xf numFmtId="1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24" borderId="0" xfId="0" applyFont="1" applyFill="1" applyAlignment="1">
      <alignment horizontal="center" vertical="center" wrapText="1"/>
    </xf>
    <xf numFmtId="1" fontId="1" fillId="24" borderId="0" xfId="0" applyNumberFormat="1" applyFont="1" applyFill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188" fontId="2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1" fontId="17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8" fillId="24" borderId="0" xfId="0" applyNumberFormat="1" applyFont="1" applyFill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8" fillId="25" borderId="10" xfId="0" applyNumberFormat="1" applyFont="1" applyFill="1" applyBorder="1" applyAlignment="1">
      <alignment vertical="center" wrapText="1"/>
    </xf>
    <xf numFmtId="1" fontId="1" fillId="25" borderId="10" xfId="0" applyNumberFormat="1" applyFont="1" applyFill="1" applyBorder="1" applyAlignment="1">
      <alignment horizontal="right" vertical="center" wrapText="1"/>
    </xf>
    <xf numFmtId="1" fontId="1" fillId="25" borderId="10" xfId="0" applyNumberFormat="1" applyFont="1" applyFill="1" applyBorder="1" applyAlignment="1">
      <alignment vertical="center" wrapText="1"/>
    </xf>
    <xf numFmtId="0" fontId="1" fillId="25" borderId="0" xfId="0" applyFont="1" applyFill="1" applyAlignment="1">
      <alignment wrapText="1"/>
    </xf>
    <xf numFmtId="0" fontId="10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" fillId="25" borderId="0" xfId="0" applyFont="1" applyFill="1" applyBorder="1" applyAlignment="1">
      <alignment horizontal="center" vertical="center" wrapText="1"/>
    </xf>
    <xf numFmtId="0" fontId="3" fillId="25" borderId="0" xfId="0" applyFont="1" applyFill="1" applyAlignment="1">
      <alignment wrapText="1"/>
    </xf>
    <xf numFmtId="0" fontId="1" fillId="25" borderId="0" xfId="0" applyFont="1" applyFill="1" applyAlignment="1">
      <alignment horizontal="right" wrapText="1"/>
    </xf>
    <xf numFmtId="0" fontId="6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right" vertical="center" wrapText="1"/>
    </xf>
    <xf numFmtId="1" fontId="2" fillId="25" borderId="10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center" wrapText="1"/>
    </xf>
    <xf numFmtId="0" fontId="11" fillId="25" borderId="10" xfId="0" applyFont="1" applyFill="1" applyBorder="1" applyAlignment="1">
      <alignment horizontal="center" vertical="center" wrapText="1"/>
    </xf>
    <xf numFmtId="1" fontId="11" fillId="25" borderId="10" xfId="0" applyNumberFormat="1" applyFont="1" applyFill="1" applyBorder="1" applyAlignment="1">
      <alignment vertical="center" wrapText="1"/>
    </xf>
    <xf numFmtId="1" fontId="22" fillId="25" borderId="10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right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vertical="center"/>
    </xf>
    <xf numFmtId="1" fontId="1" fillId="25" borderId="10" xfId="0" applyNumberFormat="1" applyFont="1" applyFill="1" applyBorder="1" applyAlignment="1">
      <alignment vertical="center"/>
    </xf>
    <xf numFmtId="1" fontId="25" fillId="25" borderId="10" xfId="0" applyNumberFormat="1" applyFont="1" applyFill="1" applyBorder="1" applyAlignment="1">
      <alignment vertical="center" wrapText="1"/>
    </xf>
    <xf numFmtId="0" fontId="28" fillId="25" borderId="10" xfId="0" applyFont="1" applyFill="1" applyBorder="1" applyAlignment="1">
      <alignment horizontal="center" vertical="center" wrapText="1"/>
    </xf>
    <xf numFmtId="1" fontId="28" fillId="25" borderId="10" xfId="0" applyNumberFormat="1" applyFont="1" applyFill="1" applyBorder="1" applyAlignment="1">
      <alignment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1" fontId="25" fillId="25" borderId="10" xfId="0" applyNumberFormat="1" applyFont="1" applyFill="1" applyBorder="1" applyAlignment="1">
      <alignment vertical="center"/>
    </xf>
    <xf numFmtId="1" fontId="28" fillId="25" borderId="10" xfId="0" applyNumberFormat="1" applyFont="1" applyFill="1" applyBorder="1" applyAlignment="1">
      <alignment vertical="center"/>
    </xf>
    <xf numFmtId="1" fontId="29" fillId="25" borderId="10" xfId="0" applyNumberFormat="1" applyFont="1" applyFill="1" applyBorder="1" applyAlignment="1">
      <alignment vertical="center"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right" vertical="center" wrapText="1"/>
    </xf>
    <xf numFmtId="0" fontId="11" fillId="25" borderId="10" xfId="0" applyFont="1" applyFill="1" applyBorder="1" applyAlignment="1">
      <alignment horizontal="right" vertical="center" wrapText="1"/>
    </xf>
    <xf numFmtId="0" fontId="2" fillId="25" borderId="0" xfId="0" applyFont="1" applyFill="1" applyAlignment="1">
      <alignment horizontal="center" vertical="center" wrapText="1"/>
    </xf>
    <xf numFmtId="0" fontId="1" fillId="25" borderId="0" xfId="0" applyFont="1" applyFill="1" applyAlignment="1">
      <alignment vertical="center" wrapText="1"/>
    </xf>
    <xf numFmtId="1" fontId="1" fillId="25" borderId="0" xfId="0" applyNumberFormat="1" applyFont="1" applyFill="1" applyAlignment="1">
      <alignment vertical="center" wrapText="1"/>
    </xf>
    <xf numFmtId="0" fontId="1" fillId="25" borderId="0" xfId="0" applyFont="1" applyFill="1" applyAlignment="1">
      <alignment horizontal="center" wrapText="1"/>
    </xf>
    <xf numFmtId="1" fontId="1" fillId="25" borderId="0" xfId="0" applyNumberFormat="1" applyFont="1" applyFill="1" applyAlignment="1">
      <alignment horizontal="center" wrapText="1"/>
    </xf>
    <xf numFmtId="0" fontId="20" fillId="25" borderId="0" xfId="0" applyFont="1" applyFill="1" applyAlignment="1">
      <alignment wrapText="1"/>
    </xf>
    <xf numFmtId="0" fontId="20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1" fillId="25" borderId="12" xfId="0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right" vertical="center" wrapText="1"/>
    </xf>
    <xf numFmtId="1" fontId="28" fillId="25" borderId="10" xfId="0" applyNumberFormat="1" applyFont="1" applyFill="1" applyBorder="1" applyAlignment="1">
      <alignment vertical="center" wrapText="1"/>
    </xf>
    <xf numFmtId="1" fontId="28" fillId="25" borderId="10" xfId="0" applyNumberFormat="1" applyFont="1" applyFill="1" applyBorder="1" applyAlignment="1">
      <alignment horizontal="right" vertical="center" wrapText="1"/>
    </xf>
    <xf numFmtId="0" fontId="1" fillId="25" borderId="0" xfId="0" applyFont="1" applyFill="1" applyAlignment="1">
      <alignment wrapText="1"/>
    </xf>
    <xf numFmtId="0" fontId="1" fillId="25" borderId="10" xfId="0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right" vertical="center" wrapText="1"/>
    </xf>
    <xf numFmtId="0" fontId="1" fillId="25" borderId="10" xfId="0" applyFont="1" applyFill="1" applyBorder="1" applyAlignment="1">
      <alignment horizontal="right" vertical="center"/>
    </xf>
    <xf numFmtId="1" fontId="1" fillId="25" borderId="10" xfId="0" applyNumberFormat="1" applyFont="1" applyFill="1" applyBorder="1" applyAlignment="1">
      <alignment horizontal="right" vertical="center"/>
    </xf>
    <xf numFmtId="1" fontId="11" fillId="25" borderId="10" xfId="0" applyNumberFormat="1" applyFont="1" applyFill="1" applyBorder="1" applyAlignment="1">
      <alignment horizontal="right" vertical="center" wrapText="1"/>
    </xf>
    <xf numFmtId="1" fontId="11" fillId="25" borderId="10" xfId="0" applyNumberFormat="1" applyFont="1" applyFill="1" applyBorder="1" applyAlignment="1">
      <alignment vertical="center" wrapText="1"/>
    </xf>
    <xf numFmtId="1" fontId="1" fillId="25" borderId="10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right" vertical="center" wrapText="1"/>
    </xf>
    <xf numFmtId="1" fontId="28" fillId="25" borderId="10" xfId="0" applyNumberFormat="1" applyFont="1" applyFill="1" applyBorder="1" applyAlignment="1">
      <alignment horizontal="right" vertical="center" wrapText="1"/>
    </xf>
    <xf numFmtId="1" fontId="2" fillId="25" borderId="10" xfId="0" applyNumberFormat="1" applyFont="1" applyFill="1" applyBorder="1" applyAlignment="1">
      <alignment vertical="center" wrapText="1"/>
    </xf>
    <xf numFmtId="0" fontId="11" fillId="25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horizontal="right" vertical="center" wrapText="1"/>
    </xf>
    <xf numFmtId="0" fontId="28" fillId="25" borderId="10" xfId="0" applyFont="1" applyFill="1" applyBorder="1" applyAlignment="1">
      <alignment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right" vertical="center" wrapText="1"/>
    </xf>
    <xf numFmtId="1" fontId="1" fillId="25" borderId="0" xfId="0" applyNumberFormat="1" applyFont="1" applyFill="1" applyAlignment="1">
      <alignment horizontal="center" wrapText="1"/>
    </xf>
    <xf numFmtId="188" fontId="20" fillId="25" borderId="0" xfId="0" applyNumberFormat="1" applyFont="1" applyFill="1" applyBorder="1" applyAlignment="1">
      <alignment/>
    </xf>
    <xf numFmtId="1" fontId="1" fillId="25" borderId="10" xfId="0" applyNumberFormat="1" applyFont="1" applyFill="1" applyBorder="1" applyAlignment="1">
      <alignment vertical="center"/>
    </xf>
    <xf numFmtId="1" fontId="28" fillId="25" borderId="10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center"/>
    </xf>
    <xf numFmtId="1" fontId="29" fillId="25" borderId="10" xfId="0" applyNumberFormat="1" applyFont="1" applyFill="1" applyBorder="1" applyAlignment="1">
      <alignment vertical="center" wrapText="1"/>
    </xf>
    <xf numFmtId="0" fontId="1" fillId="25" borderId="0" xfId="0" applyFont="1" applyFill="1" applyAlignment="1">
      <alignment horizontal="center" vertical="center" wrapText="1"/>
    </xf>
    <xf numFmtId="0" fontId="11" fillId="25" borderId="10" xfId="0" applyFont="1" applyFill="1" applyBorder="1" applyAlignment="1">
      <alignment horizontal="right" vertical="center" wrapText="1"/>
    </xf>
    <xf numFmtId="0" fontId="10" fillId="25" borderId="0" xfId="0" applyFont="1" applyFill="1" applyAlignment="1">
      <alignment/>
    </xf>
    <xf numFmtId="0" fontId="1" fillId="25" borderId="0" xfId="0" applyFont="1" applyFill="1" applyAlignment="1">
      <alignment vertical="center" wrapText="1"/>
    </xf>
    <xf numFmtId="0" fontId="1" fillId="25" borderId="13" xfId="0" applyFont="1" applyFill="1" applyBorder="1" applyAlignment="1">
      <alignment horizontal="center" vertical="center" wrapText="1"/>
    </xf>
    <xf numFmtId="1" fontId="28" fillId="25" borderId="10" xfId="0" applyNumberFormat="1" applyFont="1" applyFill="1" applyBorder="1" applyAlignment="1">
      <alignment vertical="center" wrapText="1"/>
    </xf>
    <xf numFmtId="0" fontId="28" fillId="25" borderId="10" xfId="0" applyFont="1" applyFill="1" applyBorder="1" applyAlignment="1">
      <alignment horizontal="center" vertical="center" wrapText="1"/>
    </xf>
    <xf numFmtId="49" fontId="1" fillId="25" borderId="13" xfId="0" applyNumberFormat="1" applyFont="1" applyFill="1" applyBorder="1" applyAlignment="1">
      <alignment horizontal="center" vertical="center"/>
    </xf>
    <xf numFmtId="49" fontId="1" fillId="25" borderId="14" xfId="0" applyNumberFormat="1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49" fontId="1" fillId="25" borderId="13" xfId="0" applyNumberFormat="1" applyFont="1" applyFill="1" applyBorder="1" applyAlignment="1">
      <alignment horizontal="center" vertical="center" wrapText="1"/>
    </xf>
    <xf numFmtId="1" fontId="1" fillId="25" borderId="13" xfId="0" applyNumberFormat="1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1" fontId="28" fillId="25" borderId="13" xfId="0" applyNumberFormat="1" applyFont="1" applyFill="1" applyBorder="1" applyAlignment="1">
      <alignment horizontal="center" vertical="center" wrapText="1"/>
    </xf>
    <xf numFmtId="0" fontId="17" fillId="25" borderId="0" xfId="0" applyFont="1" applyFill="1" applyAlignment="1">
      <alignment wrapText="1"/>
    </xf>
    <xf numFmtId="0" fontId="17" fillId="25" borderId="0" xfId="0" applyFont="1" applyFill="1" applyAlignment="1">
      <alignment wrapText="1"/>
    </xf>
    <xf numFmtId="0" fontId="1" fillId="25" borderId="16" xfId="0" applyFont="1" applyFill="1" applyBorder="1" applyAlignment="1">
      <alignment horizontal="center" vertical="center" wrapText="1"/>
    </xf>
    <xf numFmtId="49" fontId="1" fillId="25" borderId="17" xfId="0" applyNumberFormat="1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vertical="center" wrapText="1"/>
    </xf>
    <xf numFmtId="0" fontId="0" fillId="25" borderId="16" xfId="0" applyFill="1" applyBorder="1" applyAlignment="1">
      <alignment/>
    </xf>
    <xf numFmtId="0" fontId="0" fillId="25" borderId="13" xfId="0" applyFill="1" applyBorder="1" applyAlignment="1">
      <alignment/>
    </xf>
    <xf numFmtId="0" fontId="1" fillId="25" borderId="10" xfId="0" applyFont="1" applyFill="1" applyBorder="1" applyAlignment="1">
      <alignment horizontal="center" vertical="center"/>
    </xf>
    <xf numFmtId="0" fontId="10" fillId="25" borderId="0" xfId="0" applyFont="1" applyFill="1" applyAlignment="1">
      <alignment horizontal="left" wrapText="1"/>
    </xf>
    <xf numFmtId="0" fontId="0" fillId="25" borderId="13" xfId="0" applyFill="1" applyBorder="1" applyAlignment="1">
      <alignment wrapText="1"/>
    </xf>
    <xf numFmtId="49" fontId="1" fillId="25" borderId="1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1" fillId="25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 wrapText="1"/>
    </xf>
    <xf numFmtId="49" fontId="1" fillId="25" borderId="16" xfId="0" applyNumberFormat="1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49" fontId="1" fillId="25" borderId="13" xfId="0" applyNumberFormat="1" applyFont="1" applyFill="1" applyBorder="1" applyAlignment="1">
      <alignment horizontal="center" vertical="center" wrapText="1"/>
    </xf>
    <xf numFmtId="1" fontId="1" fillId="25" borderId="12" xfId="0" applyNumberFormat="1" applyFont="1" applyFill="1" applyBorder="1" applyAlignment="1">
      <alignment horizontal="center" vertical="center" wrapText="1"/>
    </xf>
    <xf numFmtId="1" fontId="1" fillId="25" borderId="13" xfId="0" applyNumberFormat="1" applyFont="1" applyFill="1" applyBorder="1" applyAlignment="1">
      <alignment horizontal="center" vertical="center" wrapText="1"/>
    </xf>
    <xf numFmtId="49" fontId="1" fillId="25" borderId="17" xfId="0" applyNumberFormat="1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wrapText="1"/>
    </xf>
    <xf numFmtId="49" fontId="1" fillId="25" borderId="12" xfId="0" applyNumberFormat="1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1" fillId="25" borderId="16" xfId="0" applyFont="1" applyFill="1" applyBorder="1" applyAlignment="1">
      <alignment horizontal="center" vertical="center"/>
    </xf>
    <xf numFmtId="0" fontId="19" fillId="25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4"/>
  <sheetViews>
    <sheetView tabSelected="1" view="pageBreakPreview" zoomScale="85" zoomScaleSheetLayoutView="85" zoomScalePageLayoutView="0" workbookViewId="0" topLeftCell="C1">
      <selection activeCell="E4" sqref="E4"/>
    </sheetView>
  </sheetViews>
  <sheetFormatPr defaultColWidth="9.140625" defaultRowHeight="12.75"/>
  <cols>
    <col min="1" max="1" width="9.28125" style="78" customWidth="1"/>
    <col min="2" max="2" width="35.8515625" style="78" customWidth="1"/>
    <col min="3" max="3" width="62.8515625" style="78" customWidth="1"/>
    <col min="4" max="4" width="12.57421875" style="125" customWidth="1"/>
    <col min="5" max="5" width="62.7109375" style="78" customWidth="1"/>
    <col min="6" max="6" width="13.421875" style="125" customWidth="1"/>
    <col min="7" max="7" width="15.28125" style="78" customWidth="1"/>
    <col min="8" max="16384" width="9.140625" style="78" customWidth="1"/>
  </cols>
  <sheetData>
    <row r="1" spans="5:7" ht="55.5" customHeight="1">
      <c r="E1" s="79" t="s">
        <v>239</v>
      </c>
      <c r="G1" s="80"/>
    </row>
    <row r="2" spans="5:7" ht="28.5" customHeight="1">
      <c r="E2" s="79" t="s">
        <v>240</v>
      </c>
      <c r="G2" s="80"/>
    </row>
    <row r="3" spans="3:7" ht="39.75" customHeight="1">
      <c r="C3" s="81"/>
      <c r="E3" s="79" t="s">
        <v>168</v>
      </c>
      <c r="G3" s="80"/>
    </row>
    <row r="5" spans="1:7" s="82" customFormat="1" ht="28.5" customHeight="1">
      <c r="A5" s="199" t="s">
        <v>389</v>
      </c>
      <c r="B5" s="199"/>
      <c r="C5" s="199"/>
      <c r="D5" s="199"/>
      <c r="E5" s="199"/>
      <c r="F5" s="199"/>
      <c r="G5" s="199"/>
    </row>
    <row r="6" ht="20.25" customHeight="1" hidden="1"/>
    <row r="7" ht="16.5" customHeight="1">
      <c r="G7" s="83" t="s">
        <v>100</v>
      </c>
    </row>
    <row r="8" spans="1:7" s="53" customFormat="1" ht="66.75" customHeight="1">
      <c r="A8" s="84" t="s">
        <v>69</v>
      </c>
      <c r="B8" s="180" t="s">
        <v>71</v>
      </c>
      <c r="C8" s="180" t="s">
        <v>95</v>
      </c>
      <c r="D8" s="180"/>
      <c r="E8" s="180" t="s">
        <v>98</v>
      </c>
      <c r="F8" s="180"/>
      <c r="G8" s="85" t="s">
        <v>99</v>
      </c>
    </row>
    <row r="9" spans="1:7" s="53" customFormat="1" ht="57.75" customHeight="1">
      <c r="A9" s="84" t="s">
        <v>70</v>
      </c>
      <c r="B9" s="180"/>
      <c r="C9" s="85" t="s">
        <v>96</v>
      </c>
      <c r="D9" s="126" t="s">
        <v>97</v>
      </c>
      <c r="E9" s="85" t="s">
        <v>96</v>
      </c>
      <c r="F9" s="126" t="s">
        <v>97</v>
      </c>
      <c r="G9" s="85" t="s">
        <v>97</v>
      </c>
    </row>
    <row r="10" spans="1:7" s="53" customFormat="1" ht="16.5" customHeight="1">
      <c r="A10" s="85">
        <v>1</v>
      </c>
      <c r="B10" s="85">
        <v>2</v>
      </c>
      <c r="C10" s="85">
        <v>3</v>
      </c>
      <c r="D10" s="126">
        <v>4</v>
      </c>
      <c r="E10" s="85">
        <v>5</v>
      </c>
      <c r="F10" s="126">
        <v>6</v>
      </c>
      <c r="G10" s="85">
        <v>7</v>
      </c>
    </row>
    <row r="11" spans="1:7" s="53" customFormat="1" ht="31.5">
      <c r="A11" s="86" t="s">
        <v>175</v>
      </c>
      <c r="B11" s="87" t="s">
        <v>73</v>
      </c>
      <c r="C11" s="85"/>
      <c r="D11" s="127">
        <f>D13+D14+D18+D19+D20+D21+D23+D22</f>
        <v>5405681</v>
      </c>
      <c r="E11" s="85"/>
      <c r="F11" s="135">
        <f>F12+F15+F16+F17+F18+F19+F20+F21+F14+F23</f>
        <v>1572122</v>
      </c>
      <c r="G11" s="89">
        <f>D11+F11</f>
        <v>6977803</v>
      </c>
    </row>
    <row r="12" spans="1:7" s="53" customFormat="1" ht="47.25">
      <c r="A12" s="179" t="s">
        <v>207</v>
      </c>
      <c r="B12" s="180" t="s">
        <v>208</v>
      </c>
      <c r="C12" s="85"/>
      <c r="D12" s="122"/>
      <c r="E12" s="85" t="s">
        <v>16</v>
      </c>
      <c r="F12" s="132">
        <f>253199+41588+154058+4615+333058</f>
        <v>786518</v>
      </c>
      <c r="G12" s="77">
        <f>D12+F12</f>
        <v>786518</v>
      </c>
    </row>
    <row r="13" spans="1:7" s="53" customFormat="1" ht="63">
      <c r="A13" s="179"/>
      <c r="B13" s="180"/>
      <c r="C13" s="85" t="s">
        <v>163</v>
      </c>
      <c r="D13" s="122">
        <v>1315</v>
      </c>
      <c r="E13" s="85"/>
      <c r="F13" s="132"/>
      <c r="G13" s="77">
        <f aca="true" t="shared" si="0" ref="G13:G23">D13+F13</f>
        <v>1315</v>
      </c>
    </row>
    <row r="14" spans="1:7" s="53" customFormat="1" ht="47.25">
      <c r="A14" s="179" t="s">
        <v>113</v>
      </c>
      <c r="B14" s="180" t="s">
        <v>139</v>
      </c>
      <c r="C14" s="85" t="s">
        <v>40</v>
      </c>
      <c r="D14" s="122">
        <f>480000+48500</f>
        <v>528500</v>
      </c>
      <c r="E14" s="85"/>
      <c r="F14" s="138"/>
      <c r="G14" s="77">
        <f t="shared" si="0"/>
        <v>528500</v>
      </c>
    </row>
    <row r="15" spans="1:7" s="53" customFormat="1" ht="47.25">
      <c r="A15" s="179"/>
      <c r="B15" s="180"/>
      <c r="C15" s="85"/>
      <c r="D15" s="122"/>
      <c r="E15" s="91" t="s">
        <v>3</v>
      </c>
      <c r="F15" s="131">
        <v>41424</v>
      </c>
      <c r="G15" s="93">
        <f t="shared" si="0"/>
        <v>41424</v>
      </c>
    </row>
    <row r="16" spans="1:7" s="53" customFormat="1" ht="63">
      <c r="A16" s="121" t="s">
        <v>119</v>
      </c>
      <c r="B16" s="120" t="s">
        <v>120</v>
      </c>
      <c r="C16" s="120"/>
      <c r="D16" s="122"/>
      <c r="E16" s="85" t="s">
        <v>254</v>
      </c>
      <c r="F16" s="132">
        <v>415760</v>
      </c>
      <c r="G16" s="77">
        <f t="shared" si="0"/>
        <v>415760</v>
      </c>
    </row>
    <row r="17" spans="1:7" s="53" customFormat="1" ht="47.25">
      <c r="A17" s="96">
        <v>240900</v>
      </c>
      <c r="B17" s="85" t="s">
        <v>140</v>
      </c>
      <c r="C17" s="97"/>
      <c r="D17" s="128"/>
      <c r="E17" s="85" t="s">
        <v>249</v>
      </c>
      <c r="F17" s="132">
        <f>200000+228420-100000</f>
        <v>328420</v>
      </c>
      <c r="G17" s="77">
        <f t="shared" si="0"/>
        <v>328420</v>
      </c>
    </row>
    <row r="18" spans="1:7" s="53" customFormat="1" ht="78.75">
      <c r="A18" s="186">
        <v>250404</v>
      </c>
      <c r="B18" s="184" t="s">
        <v>127</v>
      </c>
      <c r="C18" s="85" t="s">
        <v>317</v>
      </c>
      <c r="D18" s="129">
        <f>304955+35827-45632</f>
        <v>295150</v>
      </c>
      <c r="E18" s="90"/>
      <c r="F18" s="145"/>
      <c r="G18" s="77">
        <f t="shared" si="0"/>
        <v>295150</v>
      </c>
    </row>
    <row r="19" spans="1:7" s="53" customFormat="1" ht="63">
      <c r="A19" s="198"/>
      <c r="B19" s="185"/>
      <c r="C19" s="85" t="s">
        <v>254</v>
      </c>
      <c r="D19" s="122">
        <f>209200+108675-28686</f>
        <v>289189</v>
      </c>
      <c r="E19" s="85"/>
      <c r="F19" s="132"/>
      <c r="G19" s="77">
        <f t="shared" si="0"/>
        <v>289189</v>
      </c>
    </row>
    <row r="20" spans="1:7" s="53" customFormat="1" ht="63">
      <c r="A20" s="198"/>
      <c r="B20" s="185"/>
      <c r="C20" s="85" t="s">
        <v>41</v>
      </c>
      <c r="D20" s="122">
        <f>3348800+47+86900+17413-47+149300+23394+36620</f>
        <v>3662427</v>
      </c>
      <c r="E20" s="85"/>
      <c r="F20" s="132"/>
      <c r="G20" s="77">
        <f t="shared" si="0"/>
        <v>3662427</v>
      </c>
    </row>
    <row r="21" spans="1:7" s="53" customFormat="1" ht="56.25" customHeight="1">
      <c r="A21" s="198"/>
      <c r="B21" s="185"/>
      <c r="C21" s="85" t="s">
        <v>364</v>
      </c>
      <c r="D21" s="122">
        <v>91000</v>
      </c>
      <c r="E21" s="85"/>
      <c r="F21" s="132"/>
      <c r="G21" s="77">
        <f t="shared" si="0"/>
        <v>91000</v>
      </c>
    </row>
    <row r="22" spans="1:7" s="53" customFormat="1" ht="56.25" customHeight="1">
      <c r="A22" s="198"/>
      <c r="B22" s="185"/>
      <c r="C22" s="85" t="s">
        <v>157</v>
      </c>
      <c r="D22" s="122">
        <v>500000</v>
      </c>
      <c r="E22" s="85"/>
      <c r="F22" s="132"/>
      <c r="G22" s="77">
        <f>F22+D22</f>
        <v>500000</v>
      </c>
    </row>
    <row r="23" spans="1:7" s="53" customFormat="1" ht="56.25" customHeight="1">
      <c r="A23" s="187"/>
      <c r="B23" s="188"/>
      <c r="C23" s="85" t="s">
        <v>314</v>
      </c>
      <c r="D23" s="122">
        <v>38100</v>
      </c>
      <c r="E23" s="85"/>
      <c r="F23" s="132"/>
      <c r="G23" s="77">
        <f t="shared" si="0"/>
        <v>38100</v>
      </c>
    </row>
    <row r="24" spans="1:7" s="53" customFormat="1" ht="47.25">
      <c r="A24" s="86" t="s">
        <v>183</v>
      </c>
      <c r="B24" s="87" t="s">
        <v>84</v>
      </c>
      <c r="C24" s="85"/>
      <c r="D24" s="127">
        <f>D26+D27+D28+D30+D31+D32+D33+D35+D37++D40+D41+D43+D44+D48+D50+D55+D56+D57+D58+D59+D60+D61+D63+D65+D66+D72+D73+D47+D49+D46+D36+D70+D29+D34+D54+D52</f>
        <v>97025077</v>
      </c>
      <c r="E24" s="94"/>
      <c r="F24" s="127">
        <f>F27+F28+F31+F33+F38+F40+F41+F60+F48+F66+F67+F68+F69+F71+F72+F25+F36+F59+F46+F32+F45+F34+F42+F64+F29+F39+F51+F53+F62</f>
        <v>36676519</v>
      </c>
      <c r="G24" s="88">
        <f>D24+F24</f>
        <v>133701596</v>
      </c>
    </row>
    <row r="25" spans="1:7" s="53" customFormat="1" ht="47.25">
      <c r="A25" s="181" t="s">
        <v>207</v>
      </c>
      <c r="B25" s="184" t="s">
        <v>208</v>
      </c>
      <c r="C25" s="85"/>
      <c r="D25" s="122"/>
      <c r="E25" s="85" t="s">
        <v>16</v>
      </c>
      <c r="F25" s="132">
        <v>14000</v>
      </c>
      <c r="G25" s="77">
        <f aca="true" t="shared" si="1" ref="G25:G31">D25+F25</f>
        <v>14000</v>
      </c>
    </row>
    <row r="26" spans="1:7" s="53" customFormat="1" ht="63">
      <c r="A26" s="191"/>
      <c r="B26" s="188"/>
      <c r="C26" s="85" t="s">
        <v>163</v>
      </c>
      <c r="D26" s="122">
        <v>885</v>
      </c>
      <c r="E26" s="85"/>
      <c r="F26" s="126"/>
      <c r="G26" s="77">
        <f t="shared" si="1"/>
        <v>885</v>
      </c>
    </row>
    <row r="27" spans="1:7" s="53" customFormat="1" ht="33" customHeight="1">
      <c r="A27" s="179" t="s">
        <v>102</v>
      </c>
      <c r="B27" s="180" t="s">
        <v>142</v>
      </c>
      <c r="C27" s="85" t="s">
        <v>30</v>
      </c>
      <c r="D27" s="122">
        <f>4567066+20556477+45000+28185-80000+203766</f>
        <v>25320494</v>
      </c>
      <c r="E27" s="85" t="s">
        <v>10</v>
      </c>
      <c r="F27" s="132">
        <f>2665228-972793+241122-298673+2020000+13990+9000</f>
        <v>3677874</v>
      </c>
      <c r="G27" s="77">
        <f t="shared" si="1"/>
        <v>28998368</v>
      </c>
    </row>
    <row r="28" spans="1:7" s="53" customFormat="1" ht="47.25">
      <c r="A28" s="179"/>
      <c r="B28" s="180"/>
      <c r="C28" s="91" t="s">
        <v>3</v>
      </c>
      <c r="D28" s="130">
        <v>24450</v>
      </c>
      <c r="E28" s="91" t="s">
        <v>3</v>
      </c>
      <c r="F28" s="131">
        <f>397915-241122-13990</f>
        <v>142803</v>
      </c>
      <c r="G28" s="99">
        <f t="shared" si="1"/>
        <v>167253</v>
      </c>
    </row>
    <row r="29" spans="1:7" s="53" customFormat="1" ht="47.25">
      <c r="A29" s="179"/>
      <c r="B29" s="180"/>
      <c r="C29" s="100" t="s">
        <v>318</v>
      </c>
      <c r="D29" s="124">
        <f>21000</f>
        <v>21000</v>
      </c>
      <c r="E29" s="100" t="s">
        <v>318</v>
      </c>
      <c r="F29" s="146">
        <v>645000</v>
      </c>
      <c r="G29" s="101">
        <f>D29+F29</f>
        <v>666000</v>
      </c>
    </row>
    <row r="30" spans="1:7" s="53" customFormat="1" ht="63">
      <c r="A30" s="179"/>
      <c r="B30" s="180"/>
      <c r="C30" s="85" t="s">
        <v>163</v>
      </c>
      <c r="D30" s="122">
        <v>209486</v>
      </c>
      <c r="E30" s="91"/>
      <c r="F30" s="131"/>
      <c r="G30" s="77">
        <f t="shared" si="1"/>
        <v>209486</v>
      </c>
    </row>
    <row r="31" spans="1:7" s="53" customFormat="1" ht="31.5">
      <c r="A31" s="179" t="s">
        <v>103</v>
      </c>
      <c r="B31" s="179" t="s">
        <v>143</v>
      </c>
      <c r="C31" s="85" t="s">
        <v>10</v>
      </c>
      <c r="D31" s="122">
        <f>6523141+21943985+232500+79000+80000+166059+326181+735116</f>
        <v>30085982</v>
      </c>
      <c r="E31" s="85" t="s">
        <v>10</v>
      </c>
      <c r="F31" s="132">
        <f>3928880+670111+794838-125254-265000+77110-9000</f>
        <v>5071685</v>
      </c>
      <c r="G31" s="77">
        <f t="shared" si="1"/>
        <v>35157667</v>
      </c>
    </row>
    <row r="32" spans="1:7" s="53" customFormat="1" ht="31.5">
      <c r="A32" s="179"/>
      <c r="B32" s="179"/>
      <c r="C32" s="85" t="s">
        <v>11</v>
      </c>
      <c r="D32" s="122">
        <f>522962-162788</f>
        <v>360174</v>
      </c>
      <c r="E32" s="85" t="s">
        <v>11</v>
      </c>
      <c r="F32" s="132">
        <v>127071</v>
      </c>
      <c r="G32" s="77">
        <f aca="true" t="shared" si="2" ref="G32:G40">D32+F32</f>
        <v>487245</v>
      </c>
    </row>
    <row r="33" spans="1:7" s="53" customFormat="1" ht="47.25">
      <c r="A33" s="179"/>
      <c r="B33" s="179"/>
      <c r="C33" s="91" t="s">
        <v>3</v>
      </c>
      <c r="D33" s="130">
        <v>99122</v>
      </c>
      <c r="E33" s="91" t="s">
        <v>3</v>
      </c>
      <c r="F33" s="131">
        <f>1487001-794838-77110</f>
        <v>615053</v>
      </c>
      <c r="G33" s="99">
        <f>D33+F33</f>
        <v>714175</v>
      </c>
    </row>
    <row r="34" spans="1:7" s="53" customFormat="1" ht="47.25">
      <c r="A34" s="179"/>
      <c r="B34" s="179"/>
      <c r="C34" s="100" t="s">
        <v>318</v>
      </c>
      <c r="D34" s="124">
        <f>113000+114000+2000+3500</f>
        <v>232500</v>
      </c>
      <c r="E34" s="100" t="s">
        <v>318</v>
      </c>
      <c r="F34" s="123">
        <f>2049510-64000+2900-139000-66000+10000-3100-5000-16000-10000-5000+2000+11500-13000-10000+8000+7000-35767</f>
        <v>1724043</v>
      </c>
      <c r="G34" s="101">
        <f>D34+F34</f>
        <v>1956543</v>
      </c>
    </row>
    <row r="35" spans="1:7" s="53" customFormat="1" ht="66" customHeight="1">
      <c r="A35" s="181"/>
      <c r="B35" s="181"/>
      <c r="C35" s="85" t="s">
        <v>163</v>
      </c>
      <c r="D35" s="122">
        <v>322041</v>
      </c>
      <c r="E35" s="91"/>
      <c r="F35" s="131"/>
      <c r="G35" s="77">
        <f t="shared" si="2"/>
        <v>322041</v>
      </c>
    </row>
    <row r="36" spans="1:7" s="53" customFormat="1" ht="35.25" customHeight="1">
      <c r="A36" s="181" t="s">
        <v>104</v>
      </c>
      <c r="B36" s="184" t="s">
        <v>144</v>
      </c>
      <c r="C36" s="102" t="s">
        <v>10</v>
      </c>
      <c r="D36" s="122">
        <f>1636+5107</f>
        <v>6743</v>
      </c>
      <c r="E36" s="103"/>
      <c r="F36" s="132"/>
      <c r="G36" s="77">
        <f t="shared" si="2"/>
        <v>6743</v>
      </c>
    </row>
    <row r="37" spans="1:7" s="53" customFormat="1" ht="70.5" customHeight="1">
      <c r="A37" s="182"/>
      <c r="B37" s="195"/>
      <c r="C37" s="102" t="s">
        <v>163</v>
      </c>
      <c r="D37" s="122">
        <v>5234</v>
      </c>
      <c r="E37" s="85"/>
      <c r="F37" s="132"/>
      <c r="G37" s="77">
        <f t="shared" si="2"/>
        <v>5234</v>
      </c>
    </row>
    <row r="38" spans="1:7" s="53" customFormat="1" ht="47.25">
      <c r="A38" s="182"/>
      <c r="B38" s="195"/>
      <c r="C38" s="102"/>
      <c r="D38" s="122"/>
      <c r="E38" s="91" t="s">
        <v>3</v>
      </c>
      <c r="F38" s="131">
        <v>14800</v>
      </c>
      <c r="G38" s="99">
        <f t="shared" si="2"/>
        <v>14800</v>
      </c>
    </row>
    <row r="39" spans="1:7" s="53" customFormat="1" ht="47.25">
      <c r="A39" s="183"/>
      <c r="B39" s="174"/>
      <c r="C39" s="102"/>
      <c r="D39" s="122"/>
      <c r="E39" s="100" t="s">
        <v>318</v>
      </c>
      <c r="F39" s="146">
        <f>30000+4500</f>
        <v>34500</v>
      </c>
      <c r="G39" s="75">
        <f t="shared" si="2"/>
        <v>34500</v>
      </c>
    </row>
    <row r="40" spans="1:7" s="53" customFormat="1" ht="39" customHeight="1">
      <c r="A40" s="191" t="s">
        <v>61</v>
      </c>
      <c r="B40" s="188" t="s">
        <v>62</v>
      </c>
      <c r="C40" s="85" t="s">
        <v>12</v>
      </c>
      <c r="D40" s="122">
        <f>30129386+247000+8695-19000-101385+376344+82231</f>
        <v>30723271</v>
      </c>
      <c r="E40" s="85" t="s">
        <v>12</v>
      </c>
      <c r="F40" s="132">
        <f>151878+393294-F41+11000</f>
        <v>546573</v>
      </c>
      <c r="G40" s="77">
        <f t="shared" si="2"/>
        <v>31269844</v>
      </c>
    </row>
    <row r="41" spans="1:7" s="53" customFormat="1" ht="47.25">
      <c r="A41" s="179"/>
      <c r="B41" s="180"/>
      <c r="C41" s="91" t="s">
        <v>3</v>
      </c>
      <c r="D41" s="131">
        <v>5000</v>
      </c>
      <c r="E41" s="91" t="s">
        <v>3</v>
      </c>
      <c r="F41" s="131">
        <f>33649-24050</f>
        <v>9599</v>
      </c>
      <c r="G41" s="99">
        <f>D41+F41</f>
        <v>14599</v>
      </c>
    </row>
    <row r="42" spans="1:7" s="53" customFormat="1" ht="47.25">
      <c r="A42" s="179"/>
      <c r="B42" s="180"/>
      <c r="D42" s="131"/>
      <c r="E42" s="100" t="s">
        <v>318</v>
      </c>
      <c r="F42" s="123">
        <v>73700</v>
      </c>
      <c r="G42" s="101">
        <f>F42+D42</f>
        <v>73700</v>
      </c>
    </row>
    <row r="43" spans="1:7" s="53" customFormat="1" ht="66.75" customHeight="1">
      <c r="A43" s="179"/>
      <c r="B43" s="180"/>
      <c r="C43" s="85" t="s">
        <v>163</v>
      </c>
      <c r="D43" s="132">
        <v>38395</v>
      </c>
      <c r="E43" s="91"/>
      <c r="F43" s="131"/>
      <c r="G43" s="77">
        <f aca="true" t="shared" si="3" ref="G43:G71">D43+F43</f>
        <v>38395</v>
      </c>
    </row>
    <row r="44" spans="1:7" s="53" customFormat="1" ht="63.75" customHeight="1">
      <c r="A44" s="181" t="s">
        <v>328</v>
      </c>
      <c r="B44" s="184" t="s">
        <v>327</v>
      </c>
      <c r="C44" s="85" t="s">
        <v>163</v>
      </c>
      <c r="D44" s="132">
        <v>2108</v>
      </c>
      <c r="E44" s="91"/>
      <c r="F44" s="131"/>
      <c r="G44" s="77">
        <f>D44+F44</f>
        <v>2108</v>
      </c>
    </row>
    <row r="45" spans="1:7" s="53" customFormat="1" ht="37.5" customHeight="1">
      <c r="A45" s="191"/>
      <c r="B45" s="188"/>
      <c r="C45" s="85"/>
      <c r="D45" s="126"/>
      <c r="E45" s="85" t="s">
        <v>10</v>
      </c>
      <c r="F45" s="132">
        <v>49000</v>
      </c>
      <c r="G45" s="77">
        <f>D45+F45</f>
        <v>49000</v>
      </c>
    </row>
    <row r="46" spans="1:7" s="53" customFormat="1" ht="31.5">
      <c r="A46" s="181" t="s">
        <v>421</v>
      </c>
      <c r="B46" s="184" t="s">
        <v>453</v>
      </c>
      <c r="C46" s="85" t="s">
        <v>30</v>
      </c>
      <c r="D46" s="132">
        <v>30000</v>
      </c>
      <c r="E46" s="85"/>
      <c r="F46" s="132"/>
      <c r="G46" s="77">
        <f>D46+F46</f>
        <v>30000</v>
      </c>
    </row>
    <row r="47" spans="1:7" s="53" customFormat="1" ht="63.75" customHeight="1">
      <c r="A47" s="191"/>
      <c r="B47" s="188"/>
      <c r="C47" s="85" t="s">
        <v>163</v>
      </c>
      <c r="D47" s="132">
        <v>1684</v>
      </c>
      <c r="E47" s="85"/>
      <c r="F47" s="132"/>
      <c r="G47" s="77">
        <f>D47+F47</f>
        <v>1684</v>
      </c>
    </row>
    <row r="48" spans="1:7" s="53" customFormat="1" ht="31.5">
      <c r="A48" s="181" t="s">
        <v>335</v>
      </c>
      <c r="B48" s="184" t="s">
        <v>336</v>
      </c>
      <c r="C48" s="85" t="s">
        <v>30</v>
      </c>
      <c r="D48" s="132">
        <f>60000+1900</f>
        <v>61900</v>
      </c>
      <c r="E48" s="85" t="s">
        <v>10</v>
      </c>
      <c r="F48" s="132">
        <v>94430</v>
      </c>
      <c r="G48" s="77">
        <f t="shared" si="3"/>
        <v>156330</v>
      </c>
    </row>
    <row r="49" spans="1:7" s="53" customFormat="1" ht="63">
      <c r="A49" s="182"/>
      <c r="B49" s="185"/>
      <c r="C49" s="85" t="s">
        <v>163</v>
      </c>
      <c r="D49" s="132">
        <v>10998</v>
      </c>
      <c r="E49" s="85"/>
      <c r="F49" s="132"/>
      <c r="G49" s="77">
        <f>D49</f>
        <v>10998</v>
      </c>
    </row>
    <row r="50" spans="1:7" s="53" customFormat="1" ht="66" customHeight="1">
      <c r="A50" s="175" t="s">
        <v>329</v>
      </c>
      <c r="B50" s="184" t="s">
        <v>330</v>
      </c>
      <c r="C50" s="102" t="s">
        <v>163</v>
      </c>
      <c r="D50" s="132">
        <v>8769</v>
      </c>
      <c r="E50" s="91"/>
      <c r="F50" s="131"/>
      <c r="G50" s="77">
        <f t="shared" si="3"/>
        <v>8769</v>
      </c>
    </row>
    <row r="51" spans="1:7" s="53" customFormat="1" ht="50.25" customHeight="1" hidden="1">
      <c r="A51" s="194"/>
      <c r="B51" s="185"/>
      <c r="C51" s="102"/>
      <c r="D51" s="132"/>
      <c r="E51" s="100" t="s">
        <v>318</v>
      </c>
      <c r="F51" s="154">
        <f>16000-16000</f>
        <v>0</v>
      </c>
      <c r="G51" s="77">
        <f t="shared" si="3"/>
        <v>0</v>
      </c>
    </row>
    <row r="52" spans="1:7" s="53" customFormat="1" ht="50.25" customHeight="1">
      <c r="A52" s="167"/>
      <c r="B52" s="166"/>
      <c r="C52" s="85" t="s">
        <v>30</v>
      </c>
      <c r="D52" s="132">
        <f>9172</f>
        <v>9172</v>
      </c>
      <c r="E52" s="100"/>
      <c r="F52" s="154"/>
      <c r="G52" s="77">
        <f t="shared" si="3"/>
        <v>9172</v>
      </c>
    </row>
    <row r="53" spans="1:7" s="53" customFormat="1" ht="48" customHeight="1">
      <c r="A53" s="175" t="s">
        <v>154</v>
      </c>
      <c r="B53" s="184" t="s">
        <v>155</v>
      </c>
      <c r="C53" s="102"/>
      <c r="D53" s="132"/>
      <c r="E53" s="100" t="s">
        <v>318</v>
      </c>
      <c r="F53" s="154">
        <v>10000</v>
      </c>
      <c r="G53" s="154">
        <f t="shared" si="3"/>
        <v>10000</v>
      </c>
    </row>
    <row r="54" spans="1:7" s="53" customFormat="1" ht="60.75" customHeight="1">
      <c r="A54" s="177"/>
      <c r="B54" s="188"/>
      <c r="C54" s="102" t="s">
        <v>30</v>
      </c>
      <c r="D54" s="132">
        <f>90000+7359</f>
        <v>97359</v>
      </c>
      <c r="E54" s="100"/>
      <c r="F54" s="154"/>
      <c r="G54" s="77">
        <f t="shared" si="3"/>
        <v>97359</v>
      </c>
    </row>
    <row r="55" spans="1:7" s="53" customFormat="1" ht="47.25">
      <c r="A55" s="156" t="s">
        <v>116</v>
      </c>
      <c r="B55" s="153" t="s">
        <v>63</v>
      </c>
      <c r="C55" s="85" t="s">
        <v>13</v>
      </c>
      <c r="D55" s="129">
        <f>463467+252070-46866+1-90000</f>
        <v>578672</v>
      </c>
      <c r="E55" s="85"/>
      <c r="F55" s="147"/>
      <c r="G55" s="77">
        <f t="shared" si="3"/>
        <v>578672</v>
      </c>
    </row>
    <row r="56" spans="1:7" s="53" customFormat="1" ht="110.25">
      <c r="A56" s="95" t="s">
        <v>105</v>
      </c>
      <c r="B56" s="85" t="s">
        <v>138</v>
      </c>
      <c r="C56" s="85" t="s">
        <v>14</v>
      </c>
      <c r="D56" s="122">
        <f>4377290-29502-61482</f>
        <v>4286306</v>
      </c>
      <c r="E56" s="85"/>
      <c r="F56" s="138"/>
      <c r="G56" s="77">
        <f t="shared" si="3"/>
        <v>4286306</v>
      </c>
    </row>
    <row r="57" spans="1:7" s="53" customFormat="1" ht="31.5">
      <c r="A57" s="95" t="s">
        <v>199</v>
      </c>
      <c r="B57" s="85" t="s">
        <v>200</v>
      </c>
      <c r="C57" s="85" t="s">
        <v>15</v>
      </c>
      <c r="D57" s="122">
        <f>199559+61978</f>
        <v>261537</v>
      </c>
      <c r="E57" s="85"/>
      <c r="F57" s="138"/>
      <c r="G57" s="77">
        <f t="shared" si="3"/>
        <v>261537</v>
      </c>
    </row>
    <row r="58" spans="1:7" s="53" customFormat="1" ht="47.25">
      <c r="A58" s="121" t="s">
        <v>285</v>
      </c>
      <c r="B58" s="120" t="s">
        <v>286</v>
      </c>
      <c r="C58" s="85" t="s">
        <v>15</v>
      </c>
      <c r="D58" s="122">
        <f>99067+3322</f>
        <v>102389</v>
      </c>
      <c r="E58" s="85"/>
      <c r="F58" s="132"/>
      <c r="G58" s="77">
        <f t="shared" si="3"/>
        <v>102389</v>
      </c>
    </row>
    <row r="59" spans="1:7" s="53" customFormat="1" ht="31.5" customHeight="1">
      <c r="A59" s="196" t="s">
        <v>145</v>
      </c>
      <c r="B59" s="184" t="s">
        <v>233</v>
      </c>
      <c r="C59" s="102" t="s">
        <v>15</v>
      </c>
      <c r="D59" s="122">
        <f>447580+64379-3271</f>
        <v>508688</v>
      </c>
      <c r="E59" s="85" t="s">
        <v>15</v>
      </c>
      <c r="F59" s="132">
        <f>179750+35500</f>
        <v>215250</v>
      </c>
      <c r="G59" s="77">
        <f t="shared" si="3"/>
        <v>723938</v>
      </c>
    </row>
    <row r="60" spans="1:7" s="53" customFormat="1" ht="52.5" customHeight="1">
      <c r="A60" s="197"/>
      <c r="B60" s="178"/>
      <c r="C60" s="158"/>
      <c r="D60" s="131"/>
      <c r="E60" s="91" t="s">
        <v>3</v>
      </c>
      <c r="F60" s="131">
        <f>39500-35500</f>
        <v>4000</v>
      </c>
      <c r="G60" s="99">
        <f t="shared" si="3"/>
        <v>4000</v>
      </c>
    </row>
    <row r="61" spans="1:7" s="53" customFormat="1" ht="63">
      <c r="A61" s="197"/>
      <c r="B61" s="178"/>
      <c r="C61" s="102" t="s">
        <v>163</v>
      </c>
      <c r="D61" s="132">
        <v>23788</v>
      </c>
      <c r="E61" s="91"/>
      <c r="F61" s="131"/>
      <c r="G61" s="77">
        <f t="shared" si="3"/>
        <v>23788</v>
      </c>
    </row>
    <row r="62" spans="1:7" s="53" customFormat="1" ht="47.25">
      <c r="A62" s="169"/>
      <c r="B62" s="168"/>
      <c r="C62" s="102"/>
      <c r="D62" s="132"/>
      <c r="E62" s="100" t="s">
        <v>318</v>
      </c>
      <c r="F62" s="154">
        <f>3000+10000</f>
        <v>13000</v>
      </c>
      <c r="G62" s="154">
        <f>F62+D62</f>
        <v>13000</v>
      </c>
    </row>
    <row r="63" spans="1:7" s="53" customFormat="1" ht="47.25">
      <c r="A63" s="182" t="s">
        <v>197</v>
      </c>
      <c r="B63" s="185" t="s">
        <v>198</v>
      </c>
      <c r="C63" s="85" t="s">
        <v>42</v>
      </c>
      <c r="D63" s="122">
        <f>733099-57022+4400+38952+18548</f>
        <v>737977</v>
      </c>
      <c r="E63" s="85"/>
      <c r="F63" s="132"/>
      <c r="G63" s="77">
        <f t="shared" si="3"/>
        <v>737977</v>
      </c>
    </row>
    <row r="64" spans="1:7" s="53" customFormat="1" ht="47.25">
      <c r="A64" s="191"/>
      <c r="B64" s="188"/>
      <c r="C64" s="85"/>
      <c r="D64" s="122"/>
      <c r="E64" s="100" t="s">
        <v>318</v>
      </c>
      <c r="F64" s="146">
        <f>38500+10000</f>
        <v>48500</v>
      </c>
      <c r="G64" s="75">
        <f>F64</f>
        <v>48500</v>
      </c>
    </row>
    <row r="65" spans="1:7" s="53" customFormat="1" ht="63">
      <c r="A65" s="172">
        <v>130112</v>
      </c>
      <c r="B65" s="180" t="s">
        <v>127</v>
      </c>
      <c r="C65" s="85" t="s">
        <v>163</v>
      </c>
      <c r="D65" s="122">
        <v>1046</v>
      </c>
      <c r="E65" s="85"/>
      <c r="F65" s="132"/>
      <c r="G65" s="77">
        <f t="shared" si="3"/>
        <v>1046</v>
      </c>
    </row>
    <row r="66" spans="1:7" s="53" customFormat="1" ht="37.5" customHeight="1">
      <c r="A66" s="172"/>
      <c r="B66" s="180"/>
      <c r="C66" s="85" t="s">
        <v>17</v>
      </c>
      <c r="D66" s="129">
        <f>471081+4100</f>
        <v>475181</v>
      </c>
      <c r="E66" s="85" t="s">
        <v>17</v>
      </c>
      <c r="F66" s="145">
        <v>42880</v>
      </c>
      <c r="G66" s="77">
        <f t="shared" si="3"/>
        <v>518061</v>
      </c>
    </row>
    <row r="67" spans="1:7" s="53" customFormat="1" ht="34.5" customHeight="1">
      <c r="A67" s="179" t="s">
        <v>119</v>
      </c>
      <c r="B67" s="180" t="s">
        <v>120</v>
      </c>
      <c r="C67" s="85"/>
      <c r="D67" s="133"/>
      <c r="E67" s="85" t="s">
        <v>10</v>
      </c>
      <c r="F67" s="145">
        <f>8667311+11363627-5560000-1366000-1877000</f>
        <v>11227938</v>
      </c>
      <c r="G67" s="77">
        <f t="shared" si="3"/>
        <v>11227938</v>
      </c>
    </row>
    <row r="68" spans="1:7" s="53" customFormat="1" ht="34.5" customHeight="1">
      <c r="A68" s="179"/>
      <c r="B68" s="180"/>
      <c r="C68" s="85"/>
      <c r="D68" s="133"/>
      <c r="E68" s="85" t="s">
        <v>12</v>
      </c>
      <c r="F68" s="145">
        <v>1248451</v>
      </c>
      <c r="G68" s="77">
        <f t="shared" si="3"/>
        <v>1248451</v>
      </c>
    </row>
    <row r="69" spans="1:7" s="53" customFormat="1" ht="34.5" customHeight="1">
      <c r="A69" s="179"/>
      <c r="B69" s="180"/>
      <c r="C69" s="85"/>
      <c r="D69" s="133"/>
      <c r="E69" s="85" t="s">
        <v>17</v>
      </c>
      <c r="F69" s="145">
        <f>1065845+8869564</f>
        <v>9935409</v>
      </c>
      <c r="G69" s="77">
        <f t="shared" si="3"/>
        <v>9935409</v>
      </c>
    </row>
    <row r="70" spans="1:7" s="53" customFormat="1" ht="34.5" customHeight="1">
      <c r="A70" s="95" t="s">
        <v>250</v>
      </c>
      <c r="B70" s="85" t="s">
        <v>251</v>
      </c>
      <c r="C70" s="85" t="s">
        <v>312</v>
      </c>
      <c r="D70" s="133">
        <f>367000-107185</f>
        <v>259815</v>
      </c>
      <c r="E70" s="85"/>
      <c r="F70" s="145"/>
      <c r="G70" s="77">
        <f t="shared" si="3"/>
        <v>259815</v>
      </c>
    </row>
    <row r="71" spans="1:7" s="53" customFormat="1" ht="47.25">
      <c r="A71" s="85">
        <v>240601</v>
      </c>
      <c r="B71" s="85" t="s">
        <v>141</v>
      </c>
      <c r="C71" s="85"/>
      <c r="D71" s="133"/>
      <c r="E71" s="85" t="s">
        <v>18</v>
      </c>
      <c r="F71" s="122">
        <f>119053+98000+372301</f>
        <v>589354</v>
      </c>
      <c r="G71" s="77">
        <f t="shared" si="3"/>
        <v>589354</v>
      </c>
    </row>
    <row r="72" spans="1:7" s="53" customFormat="1" ht="78.75">
      <c r="A72" s="104" t="s">
        <v>59</v>
      </c>
      <c r="B72" s="85" t="s">
        <v>60</v>
      </c>
      <c r="C72" s="184" t="s">
        <v>19</v>
      </c>
      <c r="D72" s="128">
        <v>2062911</v>
      </c>
      <c r="E72" s="85" t="s">
        <v>19</v>
      </c>
      <c r="F72" s="147">
        <f>33524+468082</f>
        <v>501606</v>
      </c>
      <c r="G72" s="77">
        <f aca="true" t="shared" si="4" ref="G72:G97">D72+F72</f>
        <v>2564517</v>
      </c>
    </row>
    <row r="73" spans="1:7" s="53" customFormat="1" ht="94.5">
      <c r="A73" s="104" t="s">
        <v>354</v>
      </c>
      <c r="B73" s="85" t="s">
        <v>355</v>
      </c>
      <c r="C73" s="188"/>
      <c r="D73" s="128">
        <v>50000</v>
      </c>
      <c r="E73" s="85"/>
      <c r="F73" s="147"/>
      <c r="G73" s="77">
        <f t="shared" si="4"/>
        <v>50000</v>
      </c>
    </row>
    <row r="74" spans="1:7" s="53" customFormat="1" ht="46.5" customHeight="1">
      <c r="A74" s="86" t="s">
        <v>184</v>
      </c>
      <c r="B74" s="87" t="s">
        <v>85</v>
      </c>
      <c r="C74" s="85"/>
      <c r="D74" s="127">
        <f>D77+D78+D79+D81+D82+D84+D85+D86+D88+D91+D93+D96+D76+D80+D83+D92+D87</f>
        <v>37838644</v>
      </c>
      <c r="E74" s="94"/>
      <c r="F74" s="127">
        <f>F75+F76+F77+F78+F79+F80+F81+F82+F83+F84+F85+F86+F88+F89+F90+F91+F92+F93+F94+F95+F96+F97+F87</f>
        <v>28242689</v>
      </c>
      <c r="G74" s="89">
        <f>D74+F74</f>
        <v>66081333</v>
      </c>
    </row>
    <row r="75" spans="1:7" s="53" customFormat="1" ht="46.5" customHeight="1">
      <c r="A75" s="181" t="s">
        <v>207</v>
      </c>
      <c r="B75" s="184" t="s">
        <v>208</v>
      </c>
      <c r="C75" s="85"/>
      <c r="D75" s="127"/>
      <c r="E75" s="85" t="s">
        <v>16</v>
      </c>
      <c r="F75" s="132">
        <v>7000</v>
      </c>
      <c r="G75" s="77">
        <f>F75</f>
        <v>7000</v>
      </c>
    </row>
    <row r="76" spans="1:7" s="53" customFormat="1" ht="69" customHeight="1">
      <c r="A76" s="191"/>
      <c r="B76" s="188"/>
      <c r="C76" s="85" t="s">
        <v>163</v>
      </c>
      <c r="D76" s="122">
        <v>2829</v>
      </c>
      <c r="E76" s="85"/>
      <c r="F76" s="126"/>
      <c r="G76" s="77">
        <f>D76+F76</f>
        <v>2829</v>
      </c>
    </row>
    <row r="77" spans="1:7" s="53" customFormat="1" ht="52.5" customHeight="1">
      <c r="A77" s="179" t="s">
        <v>107</v>
      </c>
      <c r="B77" s="180" t="s">
        <v>54</v>
      </c>
      <c r="C77" s="85" t="s">
        <v>247</v>
      </c>
      <c r="D77" s="122">
        <f>12298920+70690+300151+32100+59250+80401-3735-80401+66849+817858</f>
        <v>13642083</v>
      </c>
      <c r="E77" s="85" t="s">
        <v>247</v>
      </c>
      <c r="F77" s="132">
        <f>4320602+1399284+157545+741324+1098231-55902</f>
        <v>7661084</v>
      </c>
      <c r="G77" s="77">
        <f>D77+F77</f>
        <v>21303167</v>
      </c>
    </row>
    <row r="78" spans="1:7" s="53" customFormat="1" ht="54.75" customHeight="1">
      <c r="A78" s="179"/>
      <c r="B78" s="180"/>
      <c r="C78" s="85" t="s">
        <v>345</v>
      </c>
      <c r="D78" s="122">
        <f>1111000-1013000</f>
        <v>98000</v>
      </c>
      <c r="E78" s="85"/>
      <c r="F78" s="132"/>
      <c r="G78" s="77">
        <f t="shared" si="4"/>
        <v>98000</v>
      </c>
    </row>
    <row r="79" spans="1:7" s="53" customFormat="1" ht="53.25" customHeight="1">
      <c r="A79" s="179"/>
      <c r="B79" s="180"/>
      <c r="C79" s="91" t="s">
        <v>3</v>
      </c>
      <c r="D79" s="130">
        <f>38750-3000</f>
        <v>35750</v>
      </c>
      <c r="E79" s="91" t="s">
        <v>3</v>
      </c>
      <c r="F79" s="131">
        <f>473495-157545</f>
        <v>315950</v>
      </c>
      <c r="G79" s="99">
        <f t="shared" si="4"/>
        <v>351700</v>
      </c>
    </row>
    <row r="80" spans="1:7" s="53" customFormat="1" ht="48" customHeight="1">
      <c r="A80" s="179"/>
      <c r="B80" s="180"/>
      <c r="C80" s="105" t="s">
        <v>318</v>
      </c>
      <c r="D80" s="134">
        <f>53000+15000+6000+3500</f>
        <v>77500</v>
      </c>
      <c r="E80" s="105" t="s">
        <v>318</v>
      </c>
      <c r="F80" s="146">
        <f>847000+15000+7967+16000</f>
        <v>885967</v>
      </c>
      <c r="G80" s="75">
        <f>D80+F80</f>
        <v>963467</v>
      </c>
    </row>
    <row r="81" spans="1:7" s="53" customFormat="1" ht="63">
      <c r="A81" s="179"/>
      <c r="B81" s="180"/>
      <c r="C81" s="85" t="s">
        <v>163</v>
      </c>
      <c r="D81" s="122">
        <f>9003-8360</f>
        <v>643</v>
      </c>
      <c r="E81" s="91"/>
      <c r="F81" s="131"/>
      <c r="G81" s="77">
        <f t="shared" si="4"/>
        <v>643</v>
      </c>
    </row>
    <row r="82" spans="1:7" s="53" customFormat="1" ht="50.25" customHeight="1">
      <c r="A82" s="179" t="s">
        <v>146</v>
      </c>
      <c r="B82" s="180" t="s">
        <v>276</v>
      </c>
      <c r="C82" s="85" t="s">
        <v>247</v>
      </c>
      <c r="D82" s="122">
        <f>1240984+200000-3315</f>
        <v>1437669</v>
      </c>
      <c r="E82" s="85" t="s">
        <v>247</v>
      </c>
      <c r="F82" s="132">
        <f>699466-F84+3373305</f>
        <v>4009101</v>
      </c>
      <c r="G82" s="77">
        <f t="shared" si="4"/>
        <v>5446770</v>
      </c>
    </row>
    <row r="83" spans="1:7" s="53" customFormat="1" ht="50.25" customHeight="1">
      <c r="A83" s="179"/>
      <c r="B83" s="180"/>
      <c r="C83" s="100" t="s">
        <v>318</v>
      </c>
      <c r="D83" s="124">
        <v>5000</v>
      </c>
      <c r="E83" s="100" t="s">
        <v>318</v>
      </c>
      <c r="F83" s="146">
        <f>216000-16000</f>
        <v>200000</v>
      </c>
      <c r="G83" s="101">
        <f>D83+F83</f>
        <v>205000</v>
      </c>
    </row>
    <row r="84" spans="1:7" s="53" customFormat="1" ht="51" customHeight="1">
      <c r="A84" s="181"/>
      <c r="B84" s="184"/>
      <c r="C84" s="91"/>
      <c r="D84" s="131"/>
      <c r="E84" s="91" t="s">
        <v>3</v>
      </c>
      <c r="F84" s="131">
        <f>96920-33250</f>
        <v>63670</v>
      </c>
      <c r="G84" s="99">
        <f t="shared" si="4"/>
        <v>63670</v>
      </c>
    </row>
    <row r="85" spans="1:7" s="53" customFormat="1" ht="52.5" customHeight="1">
      <c r="A85" s="175" t="s">
        <v>108</v>
      </c>
      <c r="B85" s="184" t="s">
        <v>55</v>
      </c>
      <c r="C85" s="102" t="s">
        <v>247</v>
      </c>
      <c r="D85" s="122">
        <f>71047+10125+40987+32000+37268+37037-37268+22883</f>
        <v>214079</v>
      </c>
      <c r="E85" s="85" t="s">
        <v>247</v>
      </c>
      <c r="F85" s="132">
        <f>668216-F86-28000-10000</f>
        <v>630216</v>
      </c>
      <c r="G85" s="77">
        <f t="shared" si="4"/>
        <v>844295</v>
      </c>
    </row>
    <row r="86" spans="1:7" s="53" customFormat="1" ht="54" customHeight="1">
      <c r="A86" s="176"/>
      <c r="B86" s="185"/>
      <c r="C86" s="158" t="s">
        <v>3</v>
      </c>
      <c r="D86" s="131">
        <v>28156</v>
      </c>
      <c r="E86" s="91"/>
      <c r="F86" s="131"/>
      <c r="G86" s="99">
        <f t="shared" si="4"/>
        <v>28156</v>
      </c>
    </row>
    <row r="87" spans="1:7" s="53" customFormat="1" ht="54" customHeight="1">
      <c r="A87" s="157"/>
      <c r="B87" s="188"/>
      <c r="C87" s="159" t="s">
        <v>318</v>
      </c>
      <c r="D87" s="154">
        <f>2900+3000</f>
        <v>5900</v>
      </c>
      <c r="E87" s="159" t="s">
        <v>318</v>
      </c>
      <c r="F87" s="154">
        <f>4400</f>
        <v>4400</v>
      </c>
      <c r="G87" s="154">
        <f t="shared" si="4"/>
        <v>10300</v>
      </c>
    </row>
    <row r="88" spans="1:7" s="53" customFormat="1" ht="47.25" customHeight="1">
      <c r="A88" s="182" t="s">
        <v>109</v>
      </c>
      <c r="B88" s="185" t="s">
        <v>56</v>
      </c>
      <c r="C88" s="85" t="s">
        <v>247</v>
      </c>
      <c r="D88" s="122">
        <f>2444819+9322-854</f>
        <v>2453287</v>
      </c>
      <c r="E88" s="85" t="s">
        <v>247</v>
      </c>
      <c r="F88" s="132">
        <f>265928</f>
        <v>265928</v>
      </c>
      <c r="G88" s="77">
        <f t="shared" si="4"/>
        <v>2719215</v>
      </c>
    </row>
    <row r="89" spans="1:7" s="53" customFormat="1" ht="47.25">
      <c r="A89" s="182"/>
      <c r="B89" s="185"/>
      <c r="C89" s="85"/>
      <c r="D89" s="122"/>
      <c r="E89" s="91" t="s">
        <v>3</v>
      </c>
      <c r="F89" s="131">
        <v>6000</v>
      </c>
      <c r="G89" s="99">
        <f t="shared" si="4"/>
        <v>6000</v>
      </c>
    </row>
    <row r="90" spans="1:7" s="53" customFormat="1" ht="47.25" customHeight="1">
      <c r="A90" s="183"/>
      <c r="B90" s="183"/>
      <c r="C90" s="85"/>
      <c r="D90" s="122"/>
      <c r="E90" s="100" t="s">
        <v>318</v>
      </c>
      <c r="F90" s="146">
        <f>5000+14000+23400</f>
        <v>42400</v>
      </c>
      <c r="G90" s="75">
        <f t="shared" si="4"/>
        <v>42400</v>
      </c>
    </row>
    <row r="91" spans="1:7" s="53" customFormat="1" ht="50.25" customHeight="1">
      <c r="A91" s="181" t="s">
        <v>337</v>
      </c>
      <c r="B91" s="184" t="s">
        <v>338</v>
      </c>
      <c r="C91" s="85" t="s">
        <v>247</v>
      </c>
      <c r="D91" s="122">
        <f>5950926+486185-2821133+535900+168575+682331+26814-86759-31636+13704+17231</f>
        <v>4942138</v>
      </c>
      <c r="E91" s="85" t="s">
        <v>247</v>
      </c>
      <c r="F91" s="132">
        <f>5389336+28000-773077-40000+10000+55902</f>
        <v>4670161</v>
      </c>
      <c r="G91" s="77">
        <f t="shared" si="4"/>
        <v>9612299</v>
      </c>
    </row>
    <row r="92" spans="1:7" s="53" customFormat="1" ht="57" customHeight="1">
      <c r="A92" s="191"/>
      <c r="B92" s="188"/>
      <c r="C92" s="100" t="s">
        <v>318</v>
      </c>
      <c r="D92" s="124">
        <f>8000+10000</f>
        <v>18000</v>
      </c>
      <c r="E92" s="100" t="s">
        <v>318</v>
      </c>
      <c r="F92" s="146">
        <f>180000+10000+10000</f>
        <v>200000</v>
      </c>
      <c r="G92" s="101">
        <f>D92+F92</f>
        <v>218000</v>
      </c>
    </row>
    <row r="93" spans="1:7" s="53" customFormat="1" ht="47.25">
      <c r="A93" s="181" t="s">
        <v>147</v>
      </c>
      <c r="B93" s="184" t="s">
        <v>148</v>
      </c>
      <c r="C93" s="85" t="s">
        <v>20</v>
      </c>
      <c r="D93" s="122">
        <f>9209185+1340810+22191+1335647-162634</f>
        <v>11745199</v>
      </c>
      <c r="E93" s="85"/>
      <c r="F93" s="132"/>
      <c r="G93" s="77">
        <f>D93+F93</f>
        <v>11745199</v>
      </c>
    </row>
    <row r="94" spans="1:7" s="53" customFormat="1" ht="47.25">
      <c r="A94" s="191"/>
      <c r="B94" s="188"/>
      <c r="C94" s="85"/>
      <c r="D94" s="126"/>
      <c r="E94" s="85" t="s">
        <v>247</v>
      </c>
      <c r="F94" s="138">
        <v>11600</v>
      </c>
      <c r="G94" s="77">
        <f>D94+F94</f>
        <v>11600</v>
      </c>
    </row>
    <row r="95" spans="1:7" s="53" customFormat="1" ht="63.75" customHeight="1">
      <c r="A95" s="95" t="s">
        <v>452</v>
      </c>
      <c r="B95" s="85" t="s">
        <v>453</v>
      </c>
      <c r="C95" s="85"/>
      <c r="D95" s="122"/>
      <c r="E95" s="85" t="s">
        <v>247</v>
      </c>
      <c r="F95" s="132">
        <v>55200</v>
      </c>
      <c r="G95" s="77">
        <f t="shared" si="4"/>
        <v>55200</v>
      </c>
    </row>
    <row r="96" spans="1:7" s="53" customFormat="1" ht="46.5" customHeight="1">
      <c r="A96" s="95" t="s">
        <v>111</v>
      </c>
      <c r="B96" s="85" t="s">
        <v>277</v>
      </c>
      <c r="C96" s="85" t="s">
        <v>21</v>
      </c>
      <c r="D96" s="122">
        <f>3146037-13626</f>
        <v>3132411</v>
      </c>
      <c r="E96" s="85"/>
      <c r="F96" s="138"/>
      <c r="G96" s="77">
        <f t="shared" si="4"/>
        <v>3132411</v>
      </c>
    </row>
    <row r="97" spans="1:7" s="53" customFormat="1" ht="47.25">
      <c r="A97" s="95" t="s">
        <v>119</v>
      </c>
      <c r="B97" s="85" t="s">
        <v>120</v>
      </c>
      <c r="C97" s="85"/>
      <c r="D97" s="133"/>
      <c r="E97" s="85" t="s">
        <v>247</v>
      </c>
      <c r="F97" s="132">
        <f>11179599+5081657-2341696-128000-65000-4449364+850670+210208-25481-350-1098231</f>
        <v>9214012</v>
      </c>
      <c r="G97" s="77">
        <f t="shared" si="4"/>
        <v>9214012</v>
      </c>
    </row>
    <row r="98" spans="1:7" s="53" customFormat="1" ht="49.5" customHeight="1">
      <c r="A98" s="86" t="s">
        <v>185</v>
      </c>
      <c r="B98" s="87" t="s">
        <v>86</v>
      </c>
      <c r="C98" s="85"/>
      <c r="D98" s="135">
        <f>D100+D102+D103+D104+D105+D107+D108+D110+D111+D113+D114+D115+D101+D106</f>
        <v>20623362</v>
      </c>
      <c r="E98" s="90"/>
      <c r="F98" s="135">
        <f>F99+F100+F101+F102+F103+F104+F105+F106+F107+F108+F109+F110+F112+F111+F113+F114+F115+F117</f>
        <v>3769341</v>
      </c>
      <c r="G98" s="89">
        <f>D98+F98</f>
        <v>24392703</v>
      </c>
    </row>
    <row r="99" spans="1:7" s="53" customFormat="1" ht="47.25">
      <c r="A99" s="179" t="s">
        <v>207</v>
      </c>
      <c r="B99" s="180" t="s">
        <v>208</v>
      </c>
      <c r="C99" s="85"/>
      <c r="D99" s="132"/>
      <c r="E99" s="85" t="s">
        <v>16</v>
      </c>
      <c r="F99" s="132">
        <f>523900+385135</f>
        <v>909035</v>
      </c>
      <c r="G99" s="77">
        <f>D99+F99</f>
        <v>909035</v>
      </c>
    </row>
    <row r="100" spans="1:7" s="53" customFormat="1" ht="64.5" customHeight="1">
      <c r="A100" s="179"/>
      <c r="B100" s="180"/>
      <c r="C100" s="85" t="s">
        <v>163</v>
      </c>
      <c r="D100" s="132">
        <f>5519-478</f>
        <v>5041</v>
      </c>
      <c r="E100" s="85"/>
      <c r="F100" s="138"/>
      <c r="G100" s="77">
        <f aca="true" t="shared" si="5" ref="G100:G115">D100+F100</f>
        <v>5041</v>
      </c>
    </row>
    <row r="101" spans="1:7" s="53" customFormat="1" ht="63">
      <c r="A101" s="95" t="s">
        <v>114</v>
      </c>
      <c r="B101" s="85" t="s">
        <v>316</v>
      </c>
      <c r="C101" s="85" t="s">
        <v>163</v>
      </c>
      <c r="D101" s="132">
        <v>239</v>
      </c>
      <c r="E101" s="85"/>
      <c r="F101" s="132"/>
      <c r="G101" s="77">
        <f>D101+F101</f>
        <v>239</v>
      </c>
    </row>
    <row r="102" spans="1:7" s="53" customFormat="1" ht="47.25">
      <c r="A102" s="95" t="s">
        <v>115</v>
      </c>
      <c r="B102" s="85" t="s">
        <v>282</v>
      </c>
      <c r="C102" s="85" t="s">
        <v>31</v>
      </c>
      <c r="D102" s="122">
        <f>201763-14785-18226</f>
        <v>168752</v>
      </c>
      <c r="E102" s="85"/>
      <c r="F102" s="138"/>
      <c r="G102" s="77">
        <f t="shared" si="5"/>
        <v>168752</v>
      </c>
    </row>
    <row r="103" spans="1:7" s="53" customFormat="1" ht="47.25" customHeight="1">
      <c r="A103" s="179" t="s">
        <v>205</v>
      </c>
      <c r="B103" s="180" t="s">
        <v>206</v>
      </c>
      <c r="C103" s="85" t="s">
        <v>31</v>
      </c>
      <c r="D103" s="122">
        <f>3925134-44187+24214</f>
        <v>3905161</v>
      </c>
      <c r="E103" s="85" t="s">
        <v>22</v>
      </c>
      <c r="F103" s="132">
        <f>53060-F105+1066673</f>
        <v>1098333</v>
      </c>
      <c r="G103" s="77">
        <f>D103+F103</f>
        <v>5003494</v>
      </c>
    </row>
    <row r="104" spans="1:7" s="53" customFormat="1" ht="50.25" customHeight="1">
      <c r="A104" s="179"/>
      <c r="B104" s="180"/>
      <c r="C104" s="85" t="s">
        <v>32</v>
      </c>
      <c r="D104" s="122">
        <v>24192</v>
      </c>
      <c r="E104" s="85" t="s">
        <v>394</v>
      </c>
      <c r="F104" s="132">
        <v>24192</v>
      </c>
      <c r="G104" s="77">
        <f>D104+F104</f>
        <v>48384</v>
      </c>
    </row>
    <row r="105" spans="1:7" s="53" customFormat="1" ht="51" customHeight="1">
      <c r="A105" s="179"/>
      <c r="B105" s="180"/>
      <c r="C105" s="91" t="s">
        <v>3</v>
      </c>
      <c r="D105" s="136">
        <v>3500</v>
      </c>
      <c r="E105" s="91" t="s">
        <v>3</v>
      </c>
      <c r="F105" s="136">
        <f>23400-2000</f>
        <v>21400</v>
      </c>
      <c r="G105" s="99">
        <f>D105+F105</f>
        <v>24900</v>
      </c>
    </row>
    <row r="106" spans="1:7" s="53" customFormat="1" ht="51" customHeight="1">
      <c r="A106" s="179"/>
      <c r="B106" s="180"/>
      <c r="C106" s="100" t="s">
        <v>318</v>
      </c>
      <c r="D106" s="137">
        <f>10920+7336</f>
        <v>18256</v>
      </c>
      <c r="E106" s="100" t="s">
        <v>318</v>
      </c>
      <c r="F106" s="140">
        <v>60000</v>
      </c>
      <c r="G106" s="101">
        <f>D106+F106</f>
        <v>78256</v>
      </c>
    </row>
    <row r="107" spans="1:7" s="53" customFormat="1" ht="63">
      <c r="A107" s="179"/>
      <c r="B107" s="180"/>
      <c r="C107" s="85" t="s">
        <v>163</v>
      </c>
      <c r="D107" s="138">
        <f>8307-1520</f>
        <v>6787</v>
      </c>
      <c r="E107" s="91"/>
      <c r="F107" s="136"/>
      <c r="G107" s="77">
        <f t="shared" si="5"/>
        <v>6787</v>
      </c>
    </row>
    <row r="108" spans="1:7" s="53" customFormat="1" ht="49.5" customHeight="1">
      <c r="A108" s="181" t="s">
        <v>58</v>
      </c>
      <c r="B108" s="184" t="s">
        <v>52</v>
      </c>
      <c r="C108" s="85" t="s">
        <v>31</v>
      </c>
      <c r="D108" s="122">
        <f>972100+11044</f>
        <v>983144</v>
      </c>
      <c r="E108" s="85"/>
      <c r="F108" s="138"/>
      <c r="G108" s="77">
        <f t="shared" si="5"/>
        <v>983144</v>
      </c>
    </row>
    <row r="109" spans="1:7" s="53" customFormat="1" ht="49.5" customHeight="1">
      <c r="A109" s="183"/>
      <c r="B109" s="183"/>
      <c r="C109" s="91"/>
      <c r="D109" s="136"/>
      <c r="E109" s="100" t="s">
        <v>318</v>
      </c>
      <c r="F109" s="140">
        <f>30000+3100+5000</f>
        <v>38100</v>
      </c>
      <c r="G109" s="75">
        <f t="shared" si="5"/>
        <v>38100</v>
      </c>
    </row>
    <row r="110" spans="1:7" s="53" customFormat="1" ht="48" customHeight="1">
      <c r="A110" s="179" t="s">
        <v>121</v>
      </c>
      <c r="B110" s="180" t="s">
        <v>128</v>
      </c>
      <c r="C110" s="85" t="s">
        <v>31</v>
      </c>
      <c r="D110" s="122">
        <f>7134400+197417+520401+153347+128000+257810+1620416+52665</f>
        <v>10064456</v>
      </c>
      <c r="E110" s="85"/>
      <c r="F110" s="138"/>
      <c r="G110" s="77">
        <f>D110+F110</f>
        <v>10064456</v>
      </c>
    </row>
    <row r="111" spans="1:7" s="53" customFormat="1" ht="47.25">
      <c r="A111" s="179"/>
      <c r="B111" s="180"/>
      <c r="C111" s="100" t="s">
        <v>318</v>
      </c>
      <c r="D111" s="124">
        <f>4500000-316930-181000-17900-25000-17900-5000-2000-6000-15000-14336</f>
        <v>3898934</v>
      </c>
      <c r="E111" s="91"/>
      <c r="F111" s="136"/>
      <c r="G111" s="101">
        <f>D111+F111</f>
        <v>3898934</v>
      </c>
    </row>
    <row r="112" spans="1:7" s="53" customFormat="1" ht="45.75" customHeight="1">
      <c r="A112" s="95" t="s">
        <v>119</v>
      </c>
      <c r="B112" s="85" t="s">
        <v>120</v>
      </c>
      <c r="C112" s="85"/>
      <c r="D112" s="133"/>
      <c r="E112" s="85" t="s">
        <v>22</v>
      </c>
      <c r="F112" s="145">
        <f>4218281+300000-3000000</f>
        <v>1518281</v>
      </c>
      <c r="G112" s="77">
        <f t="shared" si="5"/>
        <v>1518281</v>
      </c>
    </row>
    <row r="113" spans="1:7" s="53" customFormat="1" ht="47.25">
      <c r="A113" s="95" t="s">
        <v>68</v>
      </c>
      <c r="B113" s="85"/>
      <c r="C113" s="85" t="s">
        <v>31</v>
      </c>
      <c r="D113" s="122">
        <f>174150+11820</f>
        <v>185970</v>
      </c>
      <c r="E113" s="85"/>
      <c r="F113" s="147"/>
      <c r="G113" s="77">
        <f t="shared" si="5"/>
        <v>185970</v>
      </c>
    </row>
    <row r="114" spans="1:7" s="53" customFormat="1" ht="63">
      <c r="A114" s="95" t="s">
        <v>122</v>
      </c>
      <c r="B114" s="85" t="s">
        <v>280</v>
      </c>
      <c r="C114" s="85" t="s">
        <v>31</v>
      </c>
      <c r="D114" s="122">
        <v>500000</v>
      </c>
      <c r="E114" s="85"/>
      <c r="F114" s="147"/>
      <c r="G114" s="77">
        <f t="shared" si="5"/>
        <v>500000</v>
      </c>
    </row>
    <row r="115" spans="1:7" s="53" customFormat="1" ht="63.75" customHeight="1">
      <c r="A115" s="95" t="s">
        <v>152</v>
      </c>
      <c r="B115" s="85" t="s">
        <v>37</v>
      </c>
      <c r="C115" s="85" t="s">
        <v>31</v>
      </c>
      <c r="D115" s="122">
        <f>870750-11820</f>
        <v>858930</v>
      </c>
      <c r="E115" s="85"/>
      <c r="F115" s="147"/>
      <c r="G115" s="77">
        <f t="shared" si="5"/>
        <v>858930</v>
      </c>
    </row>
    <row r="116" spans="1:7" s="53" customFormat="1" ht="68.25" customHeight="1" hidden="1">
      <c r="A116" s="86"/>
      <c r="B116" s="87"/>
      <c r="C116" s="85"/>
      <c r="D116" s="127"/>
      <c r="E116" s="85"/>
      <c r="F116" s="127"/>
      <c r="G116" s="88"/>
    </row>
    <row r="117" spans="1:7" s="53" customFormat="1" ht="49.5" customHeight="1">
      <c r="A117" s="95" t="s">
        <v>106</v>
      </c>
      <c r="B117" s="85" t="s">
        <v>140</v>
      </c>
      <c r="C117" s="85"/>
      <c r="D117" s="122"/>
      <c r="E117" s="85" t="s">
        <v>249</v>
      </c>
      <c r="F117" s="145">
        <v>100000</v>
      </c>
      <c r="G117" s="77">
        <f>F117</f>
        <v>100000</v>
      </c>
    </row>
    <row r="118" spans="1:7" s="53" customFormat="1" ht="63">
      <c r="A118" s="86" t="s">
        <v>229</v>
      </c>
      <c r="B118" s="87" t="s">
        <v>230</v>
      </c>
      <c r="C118" s="85"/>
      <c r="D118" s="127"/>
      <c r="E118" s="85"/>
      <c r="F118" s="127">
        <f>F119</f>
        <v>7000</v>
      </c>
      <c r="G118" s="88">
        <f>D118+F118</f>
        <v>7000</v>
      </c>
    </row>
    <row r="119" spans="1:7" s="53" customFormat="1" ht="47.25">
      <c r="A119" s="95" t="s">
        <v>207</v>
      </c>
      <c r="B119" s="85" t="s">
        <v>208</v>
      </c>
      <c r="C119" s="85"/>
      <c r="D119" s="122"/>
      <c r="E119" s="85" t="s">
        <v>43</v>
      </c>
      <c r="F119" s="145">
        <v>7000</v>
      </c>
      <c r="G119" s="77">
        <f>D119+F119</f>
        <v>7000</v>
      </c>
    </row>
    <row r="120" spans="1:7" s="53" customFormat="1" ht="35.25" customHeight="1">
      <c r="A120" s="86" t="s">
        <v>190</v>
      </c>
      <c r="B120" s="87" t="s">
        <v>89</v>
      </c>
      <c r="C120" s="85"/>
      <c r="D120" s="127">
        <f>D121+D123+D124+D126+D127+D131+D135+D137+D138+D139+D122+D128+D140+D136+D132+D125+D130</f>
        <v>3836243</v>
      </c>
      <c r="E120" s="94"/>
      <c r="F120" s="127">
        <f>F121+F123+F124+F125+F127+F129+F130+F131+F133+F134+F137+F138+F141</f>
        <v>3947922</v>
      </c>
      <c r="G120" s="89">
        <f>D120+F120</f>
        <v>7784165</v>
      </c>
    </row>
    <row r="121" spans="1:7" s="53" customFormat="1" ht="47.25">
      <c r="A121" s="179" t="s">
        <v>201</v>
      </c>
      <c r="B121" s="180" t="s">
        <v>202</v>
      </c>
      <c r="C121" s="85" t="s">
        <v>44</v>
      </c>
      <c r="D121" s="122">
        <f>599140-440286</f>
        <v>158854</v>
      </c>
      <c r="E121" s="85" t="s">
        <v>44</v>
      </c>
      <c r="F121" s="132">
        <v>1321</v>
      </c>
      <c r="G121" s="98">
        <f>D121+F121</f>
        <v>160175</v>
      </c>
    </row>
    <row r="122" spans="1:7" s="53" customFormat="1" ht="65.25" customHeight="1">
      <c r="A122" s="179"/>
      <c r="B122" s="180"/>
      <c r="C122" s="85" t="s">
        <v>163</v>
      </c>
      <c r="D122" s="122">
        <v>279</v>
      </c>
      <c r="E122" s="85"/>
      <c r="F122" s="132"/>
      <c r="G122" s="98">
        <f aca="true" t="shared" si="6" ref="G122:G140">D122+F122</f>
        <v>279</v>
      </c>
    </row>
    <row r="123" spans="1:7" s="53" customFormat="1" ht="47.25">
      <c r="A123" s="179" t="s">
        <v>203</v>
      </c>
      <c r="B123" s="180" t="s">
        <v>204</v>
      </c>
      <c r="C123" s="85" t="s">
        <v>44</v>
      </c>
      <c r="D123" s="122">
        <f>2188093-1193834-67389</f>
        <v>926870</v>
      </c>
      <c r="E123" s="85" t="s">
        <v>44</v>
      </c>
      <c r="F123" s="132">
        <f>148043+14443</f>
        <v>162486</v>
      </c>
      <c r="G123" s="98">
        <f t="shared" si="6"/>
        <v>1089356</v>
      </c>
    </row>
    <row r="124" spans="1:7" s="53" customFormat="1" ht="47.25">
      <c r="A124" s="179"/>
      <c r="B124" s="180"/>
      <c r="C124" s="91" t="s">
        <v>3</v>
      </c>
      <c r="D124" s="131">
        <v>500</v>
      </c>
      <c r="E124" s="91" t="s">
        <v>3</v>
      </c>
      <c r="F124" s="131">
        <f>59018-14443-1999</f>
        <v>42576</v>
      </c>
      <c r="G124" s="106">
        <f t="shared" si="6"/>
        <v>43076</v>
      </c>
    </row>
    <row r="125" spans="1:7" s="53" customFormat="1" ht="47.25">
      <c r="A125" s="179"/>
      <c r="B125" s="180"/>
      <c r="C125" s="100" t="s">
        <v>318</v>
      </c>
      <c r="D125" s="154">
        <f>7000+7000</f>
        <v>14000</v>
      </c>
      <c r="E125" s="100" t="s">
        <v>318</v>
      </c>
      <c r="F125" s="146">
        <f>68000-4000</f>
        <v>64000</v>
      </c>
      <c r="G125" s="107">
        <f t="shared" si="6"/>
        <v>78000</v>
      </c>
    </row>
    <row r="126" spans="1:7" s="53" customFormat="1" ht="63">
      <c r="A126" s="179"/>
      <c r="B126" s="180"/>
      <c r="C126" s="85" t="s">
        <v>163</v>
      </c>
      <c r="D126" s="132">
        <v>2511</v>
      </c>
      <c r="E126" s="91"/>
      <c r="F126" s="131"/>
      <c r="G126" s="98">
        <f t="shared" si="6"/>
        <v>2511</v>
      </c>
    </row>
    <row r="127" spans="1:7" s="53" customFormat="1" ht="54" customHeight="1">
      <c r="A127" s="181" t="s">
        <v>211</v>
      </c>
      <c r="B127" s="184" t="s">
        <v>212</v>
      </c>
      <c r="C127" s="85" t="s">
        <v>44</v>
      </c>
      <c r="D127" s="122">
        <f>1255924-753852</f>
        <v>502072</v>
      </c>
      <c r="E127" s="85" t="s">
        <v>44</v>
      </c>
      <c r="F127" s="132">
        <f>1790522-108392-62486+4920</f>
        <v>1624564</v>
      </c>
      <c r="G127" s="98">
        <f t="shared" si="6"/>
        <v>2126636</v>
      </c>
    </row>
    <row r="128" spans="1:7" s="53" customFormat="1" ht="63" hidden="1">
      <c r="A128" s="182"/>
      <c r="B128" s="185"/>
      <c r="C128" s="85" t="s">
        <v>24</v>
      </c>
      <c r="D128" s="132">
        <f>5829-5829</f>
        <v>0</v>
      </c>
      <c r="E128" s="91"/>
      <c r="F128" s="131"/>
      <c r="G128" s="98">
        <f>D128+F128</f>
        <v>0</v>
      </c>
    </row>
    <row r="129" spans="1:7" s="53" customFormat="1" ht="47.25" hidden="1">
      <c r="A129" s="182"/>
      <c r="B129" s="185"/>
      <c r="C129" s="85"/>
      <c r="D129" s="132"/>
      <c r="E129" s="91" t="s">
        <v>3</v>
      </c>
      <c r="F129" s="131">
        <f>4920-4920</f>
        <v>0</v>
      </c>
      <c r="G129" s="92">
        <f>D129+F129</f>
        <v>0</v>
      </c>
    </row>
    <row r="130" spans="1:7" s="53" customFormat="1" ht="47.25">
      <c r="A130" s="183"/>
      <c r="B130" s="183"/>
      <c r="C130" s="100" t="s">
        <v>318</v>
      </c>
      <c r="D130" s="139">
        <f>15000</f>
        <v>15000</v>
      </c>
      <c r="E130" s="100" t="s">
        <v>318</v>
      </c>
      <c r="F130" s="146">
        <v>32000</v>
      </c>
      <c r="G130" s="107">
        <f>D130+F130</f>
        <v>47000</v>
      </c>
    </row>
    <row r="131" spans="1:7" s="53" customFormat="1" ht="51" customHeight="1">
      <c r="A131" s="181" t="s">
        <v>209</v>
      </c>
      <c r="B131" s="184" t="s">
        <v>210</v>
      </c>
      <c r="C131" s="85"/>
      <c r="D131" s="122"/>
      <c r="E131" s="85" t="s">
        <v>44</v>
      </c>
      <c r="F131" s="132">
        <f>1817736</f>
        <v>1817736</v>
      </c>
      <c r="G131" s="98">
        <f t="shared" si="6"/>
        <v>1817736</v>
      </c>
    </row>
    <row r="132" spans="1:7" s="53" customFormat="1" ht="63">
      <c r="A132" s="182"/>
      <c r="B132" s="185"/>
      <c r="C132" s="85" t="s">
        <v>163</v>
      </c>
      <c r="D132" s="122">
        <v>2232</v>
      </c>
      <c r="E132" s="91"/>
      <c r="F132" s="131"/>
      <c r="G132" s="98">
        <f t="shared" si="6"/>
        <v>2232</v>
      </c>
    </row>
    <row r="133" spans="1:7" s="53" customFormat="1" ht="47.25" hidden="1">
      <c r="A133" s="182"/>
      <c r="B133" s="185"/>
      <c r="C133" s="85"/>
      <c r="D133" s="122"/>
      <c r="E133" s="91" t="s">
        <v>3</v>
      </c>
      <c r="F133" s="148">
        <f>3000-3000</f>
        <v>0</v>
      </c>
      <c r="G133" s="108">
        <f t="shared" si="6"/>
        <v>0</v>
      </c>
    </row>
    <row r="134" spans="1:7" s="53" customFormat="1" ht="51.75" customHeight="1">
      <c r="A134" s="183"/>
      <c r="B134" s="183"/>
      <c r="C134" s="91"/>
      <c r="D134" s="122"/>
      <c r="E134" s="100" t="s">
        <v>318</v>
      </c>
      <c r="F134" s="146">
        <f>3000+10000+4000</f>
        <v>17000</v>
      </c>
      <c r="G134" s="107">
        <f t="shared" si="6"/>
        <v>17000</v>
      </c>
    </row>
    <row r="135" spans="1:7" s="53" customFormat="1" ht="47.25">
      <c r="A135" s="186">
        <v>110300</v>
      </c>
      <c r="B135" s="184" t="s">
        <v>65</v>
      </c>
      <c r="C135" s="85" t="s">
        <v>45</v>
      </c>
      <c r="D135" s="129">
        <f>1114809-122832+1240</f>
        <v>993217</v>
      </c>
      <c r="E135" s="85"/>
      <c r="F135" s="131"/>
      <c r="G135" s="98">
        <f t="shared" si="6"/>
        <v>993217</v>
      </c>
    </row>
    <row r="136" spans="1:7" s="53" customFormat="1" ht="63" hidden="1">
      <c r="A136" s="187"/>
      <c r="B136" s="188"/>
      <c r="C136" s="85" t="s">
        <v>24</v>
      </c>
      <c r="D136" s="129">
        <f>13116-13116</f>
        <v>0</v>
      </c>
      <c r="E136" s="85"/>
      <c r="F136" s="131"/>
      <c r="G136" s="98">
        <f t="shared" si="6"/>
        <v>0</v>
      </c>
    </row>
    <row r="137" spans="1:7" s="53" customFormat="1" ht="47.25">
      <c r="A137" s="172">
        <v>110502</v>
      </c>
      <c r="B137" s="180" t="s">
        <v>53</v>
      </c>
      <c r="C137" s="85" t="s">
        <v>23</v>
      </c>
      <c r="D137" s="128">
        <f>1693819-121001-870857</f>
        <v>701961</v>
      </c>
      <c r="E137" s="85" t="s">
        <v>23</v>
      </c>
      <c r="F137" s="147">
        <f>42020-32000</f>
        <v>10020</v>
      </c>
      <c r="G137" s="98">
        <f t="shared" si="6"/>
        <v>711981</v>
      </c>
    </row>
    <row r="138" spans="1:7" s="53" customFormat="1" ht="51" customHeight="1">
      <c r="A138" s="172"/>
      <c r="B138" s="180"/>
      <c r="C138" s="85" t="s">
        <v>44</v>
      </c>
      <c r="D138" s="128">
        <f>925412-544061+19116</f>
        <v>400467</v>
      </c>
      <c r="E138" s="85" t="s">
        <v>44</v>
      </c>
      <c r="F138" s="145">
        <v>39696</v>
      </c>
      <c r="G138" s="98">
        <f t="shared" si="6"/>
        <v>440163</v>
      </c>
    </row>
    <row r="139" spans="1:7" s="53" customFormat="1" ht="55.5" customHeight="1">
      <c r="A139" s="172"/>
      <c r="B139" s="180"/>
      <c r="C139" s="85" t="s">
        <v>46</v>
      </c>
      <c r="D139" s="128">
        <f>20000+98000</f>
        <v>118000</v>
      </c>
      <c r="E139" s="91"/>
      <c r="F139" s="147"/>
      <c r="G139" s="98">
        <f t="shared" si="6"/>
        <v>118000</v>
      </c>
    </row>
    <row r="140" spans="1:7" s="53" customFormat="1" ht="68.25" customHeight="1">
      <c r="A140" s="172"/>
      <c r="B140" s="180"/>
      <c r="C140" s="85" t="s">
        <v>163</v>
      </c>
      <c r="D140" s="128">
        <f>5280-5000</f>
        <v>280</v>
      </c>
      <c r="E140" s="85"/>
      <c r="F140" s="147"/>
      <c r="G140" s="98">
        <f t="shared" si="6"/>
        <v>280</v>
      </c>
    </row>
    <row r="141" spans="1:7" s="53" customFormat="1" ht="47.25">
      <c r="A141" s="95" t="s">
        <v>119</v>
      </c>
      <c r="B141" s="85" t="s">
        <v>120</v>
      </c>
      <c r="C141" s="85"/>
      <c r="D141" s="133"/>
      <c r="E141" s="85" t="s">
        <v>44</v>
      </c>
      <c r="F141" s="132">
        <v>136523</v>
      </c>
      <c r="G141" s="98">
        <f>D141+F141</f>
        <v>136523</v>
      </c>
    </row>
    <row r="142" spans="1:7" s="53" customFormat="1" ht="54" customHeight="1">
      <c r="A142" s="86" t="s">
        <v>189</v>
      </c>
      <c r="B142" s="87" t="s">
        <v>215</v>
      </c>
      <c r="C142" s="85"/>
      <c r="D142" s="127">
        <f>D143+D144+D145+D146</f>
        <v>365736</v>
      </c>
      <c r="E142" s="94"/>
      <c r="F142" s="135">
        <f>F143+F144</f>
        <v>1086150</v>
      </c>
      <c r="G142" s="89">
        <f aca="true" t="shared" si="7" ref="G142:G172">D142+F142</f>
        <v>1451886</v>
      </c>
    </row>
    <row r="143" spans="1:7" s="53" customFormat="1" ht="47.25">
      <c r="A143" s="95" t="s">
        <v>207</v>
      </c>
      <c r="B143" s="85" t="s">
        <v>208</v>
      </c>
      <c r="C143" s="85"/>
      <c r="D143" s="122"/>
      <c r="E143" s="85" t="s">
        <v>16</v>
      </c>
      <c r="F143" s="132">
        <f>14000+85950</f>
        <v>99950</v>
      </c>
      <c r="G143" s="77">
        <f t="shared" si="7"/>
        <v>99950</v>
      </c>
    </row>
    <row r="144" spans="1:7" s="53" customFormat="1" ht="47.25">
      <c r="A144" s="95" t="s">
        <v>119</v>
      </c>
      <c r="B144" s="85" t="s">
        <v>120</v>
      </c>
      <c r="C144" s="85"/>
      <c r="D144" s="133"/>
      <c r="E144" s="85" t="s">
        <v>167</v>
      </c>
      <c r="F144" s="132">
        <v>986200</v>
      </c>
      <c r="G144" s="77">
        <f t="shared" si="7"/>
        <v>986200</v>
      </c>
    </row>
    <row r="145" spans="1:7" s="53" customFormat="1" ht="66" customHeight="1">
      <c r="A145" s="95" t="s">
        <v>112</v>
      </c>
      <c r="B145" s="85" t="s">
        <v>127</v>
      </c>
      <c r="C145" s="85" t="s">
        <v>47</v>
      </c>
      <c r="D145" s="122">
        <f>120711+370015-370015</f>
        <v>120711</v>
      </c>
      <c r="E145" s="85"/>
      <c r="F145" s="138"/>
      <c r="G145" s="77">
        <f t="shared" si="7"/>
        <v>120711</v>
      </c>
    </row>
    <row r="146" spans="1:7" s="53" customFormat="1" ht="80.25" customHeight="1">
      <c r="A146" s="95" t="s">
        <v>137</v>
      </c>
      <c r="B146" s="85" t="s">
        <v>265</v>
      </c>
      <c r="C146" s="85" t="s">
        <v>48</v>
      </c>
      <c r="D146" s="122">
        <f>108000+533000-395975</f>
        <v>245025</v>
      </c>
      <c r="E146" s="85"/>
      <c r="F146" s="138"/>
      <c r="G146" s="77">
        <f t="shared" si="7"/>
        <v>245025</v>
      </c>
    </row>
    <row r="147" spans="1:7" s="53" customFormat="1" ht="45.75" customHeight="1">
      <c r="A147" s="86" t="s">
        <v>187</v>
      </c>
      <c r="B147" s="87" t="s">
        <v>272</v>
      </c>
      <c r="C147" s="85"/>
      <c r="D147" s="127">
        <f>D149+D150+D151+D153+D159+D161+D173+D174+D157+D152+D160+D175</f>
        <v>116781991</v>
      </c>
      <c r="E147" s="94"/>
      <c r="F147" s="135">
        <f>F148+F149+F150+F151+F152+F153+F154+F155+F156+F157+F158+F159+F160+F161+F162+F164+F165+F166+F167+F168+F169+F172+F173+F171+F163</f>
        <v>210527848</v>
      </c>
      <c r="G147" s="89">
        <f t="shared" si="7"/>
        <v>327309839</v>
      </c>
    </row>
    <row r="148" spans="1:7" s="53" customFormat="1" ht="45.75" customHeight="1">
      <c r="A148" s="179" t="s">
        <v>207</v>
      </c>
      <c r="B148" s="180" t="s">
        <v>208</v>
      </c>
      <c r="C148" s="85"/>
      <c r="D148" s="127"/>
      <c r="E148" s="85" t="s">
        <v>16</v>
      </c>
      <c r="F148" s="132">
        <v>35000</v>
      </c>
      <c r="G148" s="77">
        <f t="shared" si="7"/>
        <v>35000</v>
      </c>
    </row>
    <row r="149" spans="1:7" s="53" customFormat="1" ht="61.5" customHeight="1">
      <c r="A149" s="181"/>
      <c r="B149" s="184"/>
      <c r="C149" s="85" t="s">
        <v>163</v>
      </c>
      <c r="D149" s="122">
        <v>746</v>
      </c>
      <c r="E149" s="85"/>
      <c r="F149" s="132"/>
      <c r="G149" s="77">
        <f t="shared" si="7"/>
        <v>746</v>
      </c>
    </row>
    <row r="150" spans="1:7" s="53" customFormat="1" ht="47.25">
      <c r="A150" s="95">
        <v>90412</v>
      </c>
      <c r="B150" s="95" t="s">
        <v>128</v>
      </c>
      <c r="C150" s="102" t="s">
        <v>364</v>
      </c>
      <c r="D150" s="122">
        <f>167540+31620</f>
        <v>199160</v>
      </c>
      <c r="E150" s="85"/>
      <c r="F150" s="138"/>
      <c r="G150" s="77">
        <f t="shared" si="7"/>
        <v>199160</v>
      </c>
    </row>
    <row r="151" spans="1:7" s="53" customFormat="1" ht="47.25">
      <c r="A151" s="191" t="s">
        <v>263</v>
      </c>
      <c r="B151" s="188" t="s">
        <v>264</v>
      </c>
      <c r="C151" s="85" t="s">
        <v>364</v>
      </c>
      <c r="D151" s="122">
        <f>10566800-D153+3933-261698-458000-822000-1000000-31620-4400000</f>
        <v>3533380</v>
      </c>
      <c r="E151" s="85"/>
      <c r="F151" s="138"/>
      <c r="G151" s="77">
        <f t="shared" si="7"/>
        <v>3533380</v>
      </c>
    </row>
    <row r="152" spans="1:7" s="53" customFormat="1" ht="47.25">
      <c r="A152" s="179"/>
      <c r="B152" s="180"/>
      <c r="C152" s="100" t="s">
        <v>318</v>
      </c>
      <c r="D152" s="124">
        <f>42300+15000</f>
        <v>57300</v>
      </c>
      <c r="E152" s="85"/>
      <c r="F152" s="138"/>
      <c r="G152" s="101">
        <f>D152+F152</f>
        <v>57300</v>
      </c>
    </row>
    <row r="153" spans="1:7" s="53" customFormat="1" ht="47.25">
      <c r="A153" s="179"/>
      <c r="B153" s="180"/>
      <c r="C153" s="91" t="s">
        <v>3</v>
      </c>
      <c r="D153" s="136">
        <v>64035</v>
      </c>
      <c r="E153" s="85"/>
      <c r="F153" s="138"/>
      <c r="G153" s="99">
        <f t="shared" si="7"/>
        <v>64035</v>
      </c>
    </row>
    <row r="154" spans="1:7" s="53" customFormat="1" ht="47.25">
      <c r="A154" s="181" t="s">
        <v>149</v>
      </c>
      <c r="B154" s="184" t="s">
        <v>150</v>
      </c>
      <c r="C154" s="85"/>
      <c r="D154" s="122"/>
      <c r="E154" s="85" t="s">
        <v>364</v>
      </c>
      <c r="F154" s="132">
        <f>33149648-F155+19647548+38412988</f>
        <v>91150354</v>
      </c>
      <c r="G154" s="77">
        <f t="shared" si="7"/>
        <v>91150354</v>
      </c>
    </row>
    <row r="155" spans="1:7" s="53" customFormat="1" ht="47.25">
      <c r="A155" s="182"/>
      <c r="B155" s="185"/>
      <c r="C155" s="85"/>
      <c r="D155" s="122"/>
      <c r="E155" s="91" t="s">
        <v>3</v>
      </c>
      <c r="F155" s="136">
        <f>66475-6645</f>
        <v>59830</v>
      </c>
      <c r="G155" s="99">
        <f t="shared" si="7"/>
        <v>59830</v>
      </c>
    </row>
    <row r="156" spans="1:7" s="53" customFormat="1" ht="47.25">
      <c r="A156" s="183"/>
      <c r="B156" s="183"/>
      <c r="C156" s="85"/>
      <c r="D156" s="122"/>
      <c r="E156" s="100" t="s">
        <v>318</v>
      </c>
      <c r="F156" s="140">
        <f>225000+37000+139000+56000-10000</f>
        <v>447000</v>
      </c>
      <c r="G156" s="75">
        <f t="shared" si="7"/>
        <v>447000</v>
      </c>
    </row>
    <row r="157" spans="1:7" s="53" customFormat="1" ht="47.25" hidden="1">
      <c r="A157" s="95" t="s">
        <v>455</v>
      </c>
      <c r="B157" s="85" t="s">
        <v>38</v>
      </c>
      <c r="C157" s="85" t="s">
        <v>365</v>
      </c>
      <c r="D157" s="122">
        <f>449300-449300</f>
        <v>0</v>
      </c>
      <c r="E157" s="91"/>
      <c r="F157" s="136"/>
      <c r="G157" s="77">
        <f>D157+F157</f>
        <v>0</v>
      </c>
    </row>
    <row r="158" spans="1:7" s="53" customFormat="1" ht="56.25" customHeight="1">
      <c r="A158" s="95" t="s">
        <v>307</v>
      </c>
      <c r="B158" s="85" t="s">
        <v>308</v>
      </c>
      <c r="C158" s="85"/>
      <c r="D158" s="122"/>
      <c r="E158" s="85" t="s">
        <v>365</v>
      </c>
      <c r="F158" s="132">
        <f>780803+1000043</f>
        <v>1780846</v>
      </c>
      <c r="G158" s="77">
        <f t="shared" si="7"/>
        <v>1780846</v>
      </c>
    </row>
    <row r="159" spans="1:7" s="53" customFormat="1" ht="51.75" customHeight="1">
      <c r="A159" s="181" t="s">
        <v>129</v>
      </c>
      <c r="B159" s="180" t="s">
        <v>151</v>
      </c>
      <c r="C159" s="85" t="s">
        <v>365</v>
      </c>
      <c r="D159" s="122">
        <f>79953460-7700000+50000+210924+50774+6201-3308035</f>
        <v>69263324</v>
      </c>
      <c r="E159" s="85" t="s">
        <v>365</v>
      </c>
      <c r="F159" s="132">
        <f>672751-F161+774000+2408039</f>
        <v>3824790</v>
      </c>
      <c r="G159" s="77">
        <f>D159+F159</f>
        <v>73088114</v>
      </c>
    </row>
    <row r="160" spans="1:7" s="53" customFormat="1" ht="51.75" customHeight="1">
      <c r="A160" s="182"/>
      <c r="B160" s="180"/>
      <c r="C160" s="100" t="s">
        <v>318</v>
      </c>
      <c r="D160" s="124">
        <f>7000+24000+15000-7000</f>
        <v>39000</v>
      </c>
      <c r="E160" s="100" t="s">
        <v>318</v>
      </c>
      <c r="F160" s="146">
        <v>40000</v>
      </c>
      <c r="G160" s="101">
        <f>D160+F160</f>
        <v>79000</v>
      </c>
    </row>
    <row r="161" spans="1:7" s="53" customFormat="1" ht="47.25">
      <c r="A161" s="191"/>
      <c r="B161" s="180"/>
      <c r="C161" s="91"/>
      <c r="D161" s="136"/>
      <c r="E161" s="91" t="s">
        <v>3</v>
      </c>
      <c r="F161" s="136">
        <v>30000</v>
      </c>
      <c r="G161" s="99">
        <f t="shared" si="7"/>
        <v>30000</v>
      </c>
    </row>
    <row r="162" spans="1:7" s="53" customFormat="1" ht="51" customHeight="1">
      <c r="A162" s="179" t="s">
        <v>119</v>
      </c>
      <c r="B162" s="180" t="s">
        <v>120</v>
      </c>
      <c r="C162" s="85"/>
      <c r="D162" s="133"/>
      <c r="E162" s="85" t="s">
        <v>365</v>
      </c>
      <c r="F162" s="145">
        <f>42819917-190000-285000-10500000-908358-3208453-111122-581109-802046+670338+3149273+10367</f>
        <v>30063807</v>
      </c>
      <c r="G162" s="77">
        <f t="shared" si="7"/>
        <v>30063807</v>
      </c>
    </row>
    <row r="163" spans="1:7" s="53" customFormat="1" ht="51" customHeight="1">
      <c r="A163" s="179"/>
      <c r="B163" s="180"/>
      <c r="C163" s="85"/>
      <c r="D163" s="133"/>
      <c r="E163" s="85" t="s">
        <v>165</v>
      </c>
      <c r="F163" s="145">
        <f>1039194+111122-10367</f>
        <v>1139949</v>
      </c>
      <c r="G163" s="77">
        <f t="shared" si="7"/>
        <v>1139949</v>
      </c>
    </row>
    <row r="164" spans="1:7" s="53" customFormat="1" ht="51" customHeight="1">
      <c r="A164" s="179"/>
      <c r="B164" s="180"/>
      <c r="C164" s="85"/>
      <c r="D164" s="133"/>
      <c r="E164" s="91" t="s">
        <v>3</v>
      </c>
      <c r="F164" s="136">
        <v>17235</v>
      </c>
      <c r="G164" s="77">
        <f t="shared" si="7"/>
        <v>17235</v>
      </c>
    </row>
    <row r="165" spans="1:7" s="53" customFormat="1" ht="47.25">
      <c r="A165" s="179"/>
      <c r="B165" s="180"/>
      <c r="C165" s="85"/>
      <c r="D165" s="133"/>
      <c r="E165" s="100" t="s">
        <v>318</v>
      </c>
      <c r="F165" s="140">
        <v>10000</v>
      </c>
      <c r="G165" s="75">
        <f t="shared" si="7"/>
        <v>10000</v>
      </c>
    </row>
    <row r="166" spans="1:7" s="53" customFormat="1" ht="57.75" customHeight="1">
      <c r="A166" s="182" t="s">
        <v>74</v>
      </c>
      <c r="B166" s="185" t="s">
        <v>246</v>
      </c>
      <c r="C166" s="85"/>
      <c r="D166" s="133"/>
      <c r="E166" s="85" t="s">
        <v>365</v>
      </c>
      <c r="F166" s="132">
        <f>1529939+513671-513671</f>
        <v>1529939</v>
      </c>
      <c r="G166" s="77">
        <f t="shared" si="7"/>
        <v>1529939</v>
      </c>
    </row>
    <row r="167" spans="1:7" s="53" customFormat="1" ht="84" customHeight="1">
      <c r="A167" s="191"/>
      <c r="B167" s="188"/>
      <c r="C167" s="85"/>
      <c r="D167" s="133"/>
      <c r="E167" s="85" t="s">
        <v>315</v>
      </c>
      <c r="F167" s="132">
        <f>187691+800000</f>
        <v>987691</v>
      </c>
      <c r="G167" s="77">
        <f t="shared" si="7"/>
        <v>987691</v>
      </c>
    </row>
    <row r="168" spans="1:7" s="53" customFormat="1" ht="69.75" customHeight="1">
      <c r="A168" s="121" t="s">
        <v>131</v>
      </c>
      <c r="B168" s="120" t="s">
        <v>132</v>
      </c>
      <c r="C168" s="85"/>
      <c r="D168" s="133"/>
      <c r="E168" s="85" t="s">
        <v>365</v>
      </c>
      <c r="F168" s="132">
        <f>31540500+25960867</f>
        <v>57501367</v>
      </c>
      <c r="G168" s="77">
        <f t="shared" si="7"/>
        <v>57501367</v>
      </c>
    </row>
    <row r="169" spans="1:7" s="53" customFormat="1" ht="63" customHeight="1">
      <c r="A169" s="184">
        <v>180409</v>
      </c>
      <c r="B169" s="184" t="s">
        <v>271</v>
      </c>
      <c r="C169" s="189"/>
      <c r="D169" s="192"/>
      <c r="E169" s="184" t="s">
        <v>365</v>
      </c>
      <c r="F169" s="192">
        <f>6226733+2688100+7949340-822000+285000-506620-1498800+41200+670338-670338</f>
        <v>14362953</v>
      </c>
      <c r="G169" s="192">
        <f t="shared" si="7"/>
        <v>14362953</v>
      </c>
    </row>
    <row r="170" spans="1:7" s="53" customFormat="1" ht="15.75">
      <c r="A170" s="185"/>
      <c r="B170" s="185"/>
      <c r="C170" s="190"/>
      <c r="D170" s="193"/>
      <c r="E170" s="188"/>
      <c r="F170" s="193"/>
      <c r="G170" s="193"/>
    </row>
    <row r="171" spans="1:7" s="53" customFormat="1" ht="47.25">
      <c r="A171" s="188"/>
      <c r="B171" s="188"/>
      <c r="C171" s="162"/>
      <c r="D171" s="161"/>
      <c r="E171" s="155" t="s">
        <v>318</v>
      </c>
      <c r="F171" s="163">
        <f>5000</f>
        <v>5000</v>
      </c>
      <c r="G171" s="163">
        <f>F171+D171</f>
        <v>5000</v>
      </c>
    </row>
    <row r="172" spans="1:7" s="53" customFormat="1" ht="47.25">
      <c r="A172" s="160" t="s">
        <v>64</v>
      </c>
      <c r="B172" s="153" t="s">
        <v>141</v>
      </c>
      <c r="C172" s="85"/>
      <c r="D172" s="133"/>
      <c r="E172" s="85" t="s">
        <v>33</v>
      </c>
      <c r="F172" s="132">
        <f>2250578+1500000+950000</f>
        <v>4700578</v>
      </c>
      <c r="G172" s="77">
        <f t="shared" si="7"/>
        <v>4700578</v>
      </c>
    </row>
    <row r="173" spans="1:7" s="53" customFormat="1" ht="48.75" customHeight="1">
      <c r="A173" s="181" t="s">
        <v>112</v>
      </c>
      <c r="B173" s="184" t="s">
        <v>127</v>
      </c>
      <c r="C173" s="85" t="s">
        <v>365</v>
      </c>
      <c r="D173" s="122">
        <f>17937420+7700000+822000+1000000+15150000+126818</f>
        <v>42736238</v>
      </c>
      <c r="E173" s="85" t="s">
        <v>364</v>
      </c>
      <c r="F173" s="145">
        <f>1287772+1422029+131708</f>
        <v>2841509</v>
      </c>
      <c r="G173" s="77">
        <f>D173+F173</f>
        <v>45577747</v>
      </c>
    </row>
    <row r="174" spans="1:7" s="53" customFormat="1" ht="45.75" customHeight="1">
      <c r="A174" s="182"/>
      <c r="B174" s="185"/>
      <c r="C174" s="85" t="s">
        <v>32</v>
      </c>
      <c r="D174" s="122">
        <v>885808</v>
      </c>
      <c r="E174" s="85"/>
      <c r="F174" s="145"/>
      <c r="G174" s="77">
        <f>D174+F174</f>
        <v>885808</v>
      </c>
    </row>
    <row r="175" spans="1:7" s="53" customFormat="1" ht="47.25" customHeight="1">
      <c r="A175" s="183"/>
      <c r="B175" s="174"/>
      <c r="C175" s="100" t="s">
        <v>318</v>
      </c>
      <c r="D175" s="140">
        <v>3000</v>
      </c>
      <c r="E175" s="75"/>
      <c r="F175" s="145"/>
      <c r="G175" s="75">
        <f>D175+F175</f>
        <v>3000</v>
      </c>
    </row>
    <row r="176" spans="1:7" s="53" customFormat="1" ht="47.25">
      <c r="A176" s="86" t="s">
        <v>188</v>
      </c>
      <c r="B176" s="87" t="s">
        <v>88</v>
      </c>
      <c r="C176" s="85"/>
      <c r="D176" s="127">
        <f>D178</f>
        <v>24295</v>
      </c>
      <c r="E176" s="94"/>
      <c r="F176" s="127">
        <f>F177</f>
        <v>28000</v>
      </c>
      <c r="G176" s="89">
        <f aca="true" t="shared" si="8" ref="G176:G182">D176+F176</f>
        <v>52295</v>
      </c>
    </row>
    <row r="177" spans="1:7" s="53" customFormat="1" ht="48" customHeight="1">
      <c r="A177" s="95" t="s">
        <v>207</v>
      </c>
      <c r="B177" s="85" t="s">
        <v>208</v>
      </c>
      <c r="C177" s="85"/>
      <c r="D177" s="122"/>
      <c r="E177" s="85" t="s">
        <v>16</v>
      </c>
      <c r="F177" s="132">
        <f>61915-33915</f>
        <v>28000</v>
      </c>
      <c r="G177" s="77">
        <f t="shared" si="8"/>
        <v>28000</v>
      </c>
    </row>
    <row r="178" spans="1:7" s="53" customFormat="1" ht="63">
      <c r="A178" s="95" t="s">
        <v>112</v>
      </c>
      <c r="B178" s="85" t="s">
        <v>127</v>
      </c>
      <c r="C178" s="85" t="s">
        <v>163</v>
      </c>
      <c r="D178" s="122">
        <f>40159-15864</f>
        <v>24295</v>
      </c>
      <c r="E178" s="85"/>
      <c r="F178" s="138"/>
      <c r="G178" s="77">
        <f t="shared" si="8"/>
        <v>24295</v>
      </c>
    </row>
    <row r="179" spans="1:7" s="53" customFormat="1" ht="47.25">
      <c r="A179" s="86" t="s">
        <v>192</v>
      </c>
      <c r="B179" s="87" t="s">
        <v>90</v>
      </c>
      <c r="C179" s="85"/>
      <c r="D179" s="127">
        <f>D180+D182+D183+D185+D181+D184</f>
        <v>1312052</v>
      </c>
      <c r="E179" s="94"/>
      <c r="F179" s="135">
        <f>F180+F181+F185</f>
        <v>812719</v>
      </c>
      <c r="G179" s="89">
        <f t="shared" si="8"/>
        <v>2124771</v>
      </c>
    </row>
    <row r="180" spans="1:7" s="53" customFormat="1" ht="47.25">
      <c r="A180" s="95" t="s">
        <v>207</v>
      </c>
      <c r="B180" s="85" t="s">
        <v>208</v>
      </c>
      <c r="C180" s="85"/>
      <c r="D180" s="122"/>
      <c r="E180" s="85" t="s">
        <v>16</v>
      </c>
      <c r="F180" s="132">
        <v>14000</v>
      </c>
      <c r="G180" s="77">
        <f t="shared" si="8"/>
        <v>14000</v>
      </c>
    </row>
    <row r="181" spans="1:7" s="53" customFormat="1" ht="47.25">
      <c r="A181" s="95" t="s">
        <v>444</v>
      </c>
      <c r="B181" s="85" t="s">
        <v>449</v>
      </c>
      <c r="D181" s="122"/>
      <c r="E181" s="85" t="s">
        <v>161</v>
      </c>
      <c r="F181" s="138">
        <f>1550464-852232</f>
        <v>698232</v>
      </c>
      <c r="G181" s="77">
        <f t="shared" si="8"/>
        <v>698232</v>
      </c>
    </row>
    <row r="182" spans="1:7" s="53" customFormat="1" ht="47.25">
      <c r="A182" s="186">
        <v>250404</v>
      </c>
      <c r="B182" s="172" t="s">
        <v>127</v>
      </c>
      <c r="C182" s="85" t="s">
        <v>162</v>
      </c>
      <c r="D182" s="129">
        <v>24055</v>
      </c>
      <c r="E182" s="85"/>
      <c r="F182" s="126"/>
      <c r="G182" s="77">
        <f t="shared" si="8"/>
        <v>24055</v>
      </c>
    </row>
    <row r="183" spans="1:7" s="53" customFormat="1" ht="47.25">
      <c r="A183" s="170"/>
      <c r="B183" s="172"/>
      <c r="C183" s="85" t="s">
        <v>255</v>
      </c>
      <c r="D183" s="129">
        <f>2910648-1479373-243278</f>
        <v>1187997</v>
      </c>
      <c r="F183" s="145"/>
      <c r="G183" s="77">
        <f>D183</f>
        <v>1187997</v>
      </c>
    </row>
    <row r="184" spans="1:7" s="53" customFormat="1" ht="51" customHeight="1">
      <c r="A184" s="170"/>
      <c r="B184" s="172"/>
      <c r="C184" s="85" t="s">
        <v>364</v>
      </c>
      <c r="D184" s="129">
        <v>100000</v>
      </c>
      <c r="E184" s="85"/>
      <c r="F184" s="145"/>
      <c r="G184" s="77">
        <f>D184</f>
        <v>100000</v>
      </c>
    </row>
    <row r="185" spans="1:7" s="53" customFormat="1" ht="66" customHeight="1">
      <c r="A185" s="171"/>
      <c r="B185" s="172"/>
      <c r="D185" s="129"/>
      <c r="E185" s="85" t="s">
        <v>25</v>
      </c>
      <c r="F185" s="138">
        <v>100487</v>
      </c>
      <c r="G185" s="77">
        <f>D185+F185</f>
        <v>100487</v>
      </c>
    </row>
    <row r="186" spans="1:7" s="53" customFormat="1" ht="48.75" customHeight="1" hidden="1">
      <c r="A186" s="95"/>
      <c r="B186" s="85"/>
      <c r="C186" s="85"/>
      <c r="D186" s="129"/>
      <c r="F186" s="149"/>
      <c r="G186" s="77"/>
    </row>
    <row r="187" spans="1:7" s="53" customFormat="1" ht="47.25">
      <c r="A187" s="86" t="s">
        <v>196</v>
      </c>
      <c r="B187" s="87" t="s">
        <v>94</v>
      </c>
      <c r="C187" s="87"/>
      <c r="D187" s="127"/>
      <c r="E187" s="110"/>
      <c r="F187" s="127">
        <f>F188+F189</f>
        <v>984306</v>
      </c>
      <c r="G187" s="88">
        <f aca="true" t="shared" si="9" ref="G187:G194">D187+F187</f>
        <v>984306</v>
      </c>
    </row>
    <row r="188" spans="1:7" s="53" customFormat="1" ht="47.25">
      <c r="A188" s="95" t="s">
        <v>207</v>
      </c>
      <c r="B188" s="85" t="s">
        <v>208</v>
      </c>
      <c r="C188" s="85"/>
      <c r="D188" s="122"/>
      <c r="E188" s="85" t="s">
        <v>16</v>
      </c>
      <c r="F188" s="122">
        <f>41720+98600-20720-98600</f>
        <v>21000</v>
      </c>
      <c r="G188" s="76">
        <f t="shared" si="9"/>
        <v>21000</v>
      </c>
    </row>
    <row r="189" spans="1:7" s="53" customFormat="1" ht="31.5">
      <c r="A189" s="95" t="s">
        <v>76</v>
      </c>
      <c r="B189" s="85" t="s">
        <v>77</v>
      </c>
      <c r="C189" s="85"/>
      <c r="D189" s="122"/>
      <c r="E189" s="85" t="s">
        <v>248</v>
      </c>
      <c r="F189" s="132">
        <v>963306</v>
      </c>
      <c r="G189" s="76">
        <f t="shared" si="9"/>
        <v>963306</v>
      </c>
    </row>
    <row r="190" spans="1:7" s="53" customFormat="1" ht="31.5">
      <c r="A190" s="86" t="s">
        <v>193</v>
      </c>
      <c r="B190" s="87" t="s">
        <v>91</v>
      </c>
      <c r="C190" s="85"/>
      <c r="D190" s="127">
        <f>D193</f>
        <v>60000</v>
      </c>
      <c r="E190" s="94"/>
      <c r="F190" s="127">
        <f>F194+F191+F192+F193</f>
        <v>44226342</v>
      </c>
      <c r="G190" s="88">
        <f t="shared" si="9"/>
        <v>44286342</v>
      </c>
    </row>
    <row r="191" spans="1:7" s="53" customFormat="1" ht="47.25" customHeight="1">
      <c r="A191" s="95" t="s">
        <v>207</v>
      </c>
      <c r="B191" s="85" t="s">
        <v>208</v>
      </c>
      <c r="C191" s="85"/>
      <c r="D191" s="122"/>
      <c r="E191" s="85" t="s">
        <v>16</v>
      </c>
      <c r="F191" s="132">
        <v>21000</v>
      </c>
      <c r="G191" s="76">
        <f>D191+F191</f>
        <v>21000</v>
      </c>
    </row>
    <row r="192" spans="1:7" s="53" customFormat="1" ht="69" customHeight="1" hidden="1">
      <c r="A192" s="95" t="s">
        <v>119</v>
      </c>
      <c r="B192" s="85" t="s">
        <v>120</v>
      </c>
      <c r="C192" s="85"/>
      <c r="D192" s="122"/>
      <c r="E192" s="85" t="s">
        <v>158</v>
      </c>
      <c r="F192" s="132">
        <f>2000000-2000000</f>
        <v>0</v>
      </c>
      <c r="G192" s="76">
        <f>D192+F192</f>
        <v>0</v>
      </c>
    </row>
    <row r="193" spans="1:7" s="53" customFormat="1" ht="51.75" customHeight="1">
      <c r="A193" s="95" t="s">
        <v>159</v>
      </c>
      <c r="B193" s="85" t="s">
        <v>160</v>
      </c>
      <c r="C193" s="85" t="s">
        <v>166</v>
      </c>
      <c r="D193" s="122">
        <f>60000</f>
        <v>60000</v>
      </c>
      <c r="E193" s="85"/>
      <c r="F193" s="132"/>
      <c r="G193" s="76">
        <f>D193+F193</f>
        <v>60000</v>
      </c>
    </row>
    <row r="194" spans="1:7" s="53" customFormat="1" ht="47.25" customHeight="1">
      <c r="A194" s="85">
        <v>240601</v>
      </c>
      <c r="B194" s="85" t="s">
        <v>141</v>
      </c>
      <c r="C194" s="85"/>
      <c r="D194" s="133"/>
      <c r="E194" s="85" t="s">
        <v>33</v>
      </c>
      <c r="F194" s="132">
        <f>14470369+273484+3500000+16136+26968837-950000-73484</f>
        <v>44205342</v>
      </c>
      <c r="G194" s="76">
        <f t="shared" si="9"/>
        <v>44205342</v>
      </c>
    </row>
    <row r="195" spans="1:7" s="53" customFormat="1" ht="47.25">
      <c r="A195" s="86" t="s">
        <v>191</v>
      </c>
      <c r="B195" s="87" t="s">
        <v>92</v>
      </c>
      <c r="C195" s="85"/>
      <c r="D195" s="127">
        <f>D198+D200+D205+D206+D199+D197</f>
        <v>30939969</v>
      </c>
      <c r="E195" s="94"/>
      <c r="F195" s="127">
        <f>F196+F198+F201+F203+F204+F205+F206+F202</f>
        <v>7985487</v>
      </c>
      <c r="G195" s="88">
        <f aca="true" t="shared" si="10" ref="G195:G207">D195+F195</f>
        <v>38925456</v>
      </c>
    </row>
    <row r="196" spans="1:7" s="53" customFormat="1" ht="47.25">
      <c r="A196" s="95" t="s">
        <v>207</v>
      </c>
      <c r="B196" s="85" t="s">
        <v>208</v>
      </c>
      <c r="C196" s="85"/>
      <c r="D196" s="122"/>
      <c r="E196" s="85" t="s">
        <v>16</v>
      </c>
      <c r="F196" s="138">
        <v>7000</v>
      </c>
      <c r="G196" s="76">
        <f t="shared" si="10"/>
        <v>7000</v>
      </c>
    </row>
    <row r="197" spans="1:7" s="53" customFormat="1" ht="77.25" customHeight="1">
      <c r="A197" s="95" t="s">
        <v>129</v>
      </c>
      <c r="B197" s="85" t="s">
        <v>130</v>
      </c>
      <c r="C197" s="85" t="s">
        <v>333</v>
      </c>
      <c r="D197" s="122">
        <v>458000</v>
      </c>
      <c r="E197" s="85"/>
      <c r="F197" s="138"/>
      <c r="G197" s="76">
        <f t="shared" si="10"/>
        <v>458000</v>
      </c>
    </row>
    <row r="198" spans="1:7" s="53" customFormat="1" ht="63">
      <c r="A198" s="95" t="s">
        <v>66</v>
      </c>
      <c r="B198" s="85" t="s">
        <v>67</v>
      </c>
      <c r="C198" s="85" t="s">
        <v>49</v>
      </c>
      <c r="D198" s="122">
        <f>2300000+250000-58031</f>
        <v>2491969</v>
      </c>
      <c r="E198" s="85"/>
      <c r="F198" s="132"/>
      <c r="G198" s="76">
        <f t="shared" si="10"/>
        <v>2491969</v>
      </c>
    </row>
    <row r="199" spans="1:7" s="53" customFormat="1" ht="78.75" hidden="1">
      <c r="A199" s="95" t="s">
        <v>252</v>
      </c>
      <c r="B199" s="85" t="s">
        <v>253</v>
      </c>
      <c r="C199" s="85" t="s">
        <v>313</v>
      </c>
      <c r="D199" s="122">
        <f>335149-335149</f>
        <v>0</v>
      </c>
      <c r="E199" s="85"/>
      <c r="F199" s="132"/>
      <c r="G199" s="76">
        <f t="shared" si="10"/>
        <v>0</v>
      </c>
    </row>
    <row r="200" spans="1:7" s="53" customFormat="1" ht="81.75" customHeight="1">
      <c r="A200" s="95" t="s">
        <v>117</v>
      </c>
      <c r="B200" s="85" t="s">
        <v>118</v>
      </c>
      <c r="C200" s="85" t="s">
        <v>50</v>
      </c>
      <c r="D200" s="122">
        <f>10000000+14665000</f>
        <v>24665000</v>
      </c>
      <c r="E200" s="85"/>
      <c r="F200" s="138"/>
      <c r="G200" s="76">
        <f t="shared" si="10"/>
        <v>24665000</v>
      </c>
    </row>
    <row r="201" spans="1:7" s="53" customFormat="1" ht="78.75">
      <c r="A201" s="181" t="s">
        <v>119</v>
      </c>
      <c r="B201" s="184" t="s">
        <v>120</v>
      </c>
      <c r="C201" s="85"/>
      <c r="D201" s="122"/>
      <c r="E201" s="85" t="s">
        <v>50</v>
      </c>
      <c r="F201" s="132">
        <f>1355142+999999</f>
        <v>2355141</v>
      </c>
      <c r="G201" s="76">
        <f t="shared" si="10"/>
        <v>2355141</v>
      </c>
    </row>
    <row r="202" spans="1:7" s="53" customFormat="1" ht="63">
      <c r="A202" s="182"/>
      <c r="B202" s="185"/>
      <c r="C202" s="85"/>
      <c r="D202" s="122"/>
      <c r="E202" s="85" t="s">
        <v>333</v>
      </c>
      <c r="F202" s="132">
        <v>1006452</v>
      </c>
      <c r="G202" s="76">
        <f t="shared" si="10"/>
        <v>1006452</v>
      </c>
    </row>
    <row r="203" spans="1:7" s="53" customFormat="1" ht="83.25" customHeight="1">
      <c r="A203" s="179" t="s">
        <v>133</v>
      </c>
      <c r="B203" s="180" t="s">
        <v>271</v>
      </c>
      <c r="C203" s="180"/>
      <c r="D203" s="122"/>
      <c r="E203" s="85" t="s">
        <v>50</v>
      </c>
      <c r="F203" s="132">
        <f>66000+1474480</f>
        <v>1540480</v>
      </c>
      <c r="G203" s="76">
        <f t="shared" si="10"/>
        <v>1540480</v>
      </c>
    </row>
    <row r="204" spans="1:7" s="53" customFormat="1" ht="63">
      <c r="A204" s="179"/>
      <c r="B204" s="180"/>
      <c r="C204" s="180"/>
      <c r="D204" s="141"/>
      <c r="E204" s="85" t="s">
        <v>333</v>
      </c>
      <c r="F204" s="132">
        <f>1573041+368374</f>
        <v>1941415</v>
      </c>
      <c r="G204" s="76">
        <f t="shared" si="10"/>
        <v>1941415</v>
      </c>
    </row>
    <row r="205" spans="1:7" s="53" customFormat="1" ht="87.75" customHeight="1" hidden="1">
      <c r="A205" s="181" t="s">
        <v>261</v>
      </c>
      <c r="B205" s="184" t="s">
        <v>262</v>
      </c>
      <c r="C205" s="85" t="s">
        <v>51</v>
      </c>
      <c r="D205" s="122">
        <f>122723-122723</f>
        <v>0</v>
      </c>
      <c r="E205" s="85"/>
      <c r="F205" s="132"/>
      <c r="G205" s="76">
        <f t="shared" si="10"/>
        <v>0</v>
      </c>
    </row>
    <row r="206" spans="1:7" s="53" customFormat="1" ht="69.75" customHeight="1">
      <c r="A206" s="182"/>
      <c r="B206" s="185"/>
      <c r="C206" s="85" t="s">
        <v>333</v>
      </c>
      <c r="D206" s="122">
        <f>2425000+900000</f>
        <v>3325000</v>
      </c>
      <c r="E206" s="85" t="s">
        <v>333</v>
      </c>
      <c r="F206" s="132">
        <f>480946+1254053-600000</f>
        <v>1134999</v>
      </c>
      <c r="G206" s="76">
        <f t="shared" si="10"/>
        <v>4459999</v>
      </c>
    </row>
    <row r="207" spans="1:7" s="53" customFormat="1" ht="78.75" customHeight="1">
      <c r="A207" s="86" t="s">
        <v>186</v>
      </c>
      <c r="B207" s="87" t="s">
        <v>87</v>
      </c>
      <c r="C207" s="85"/>
      <c r="D207" s="127">
        <f>D209+D210+D211</f>
        <v>6994097</v>
      </c>
      <c r="E207" s="94"/>
      <c r="F207" s="135">
        <f>F209+F210+F208</f>
        <v>6501142</v>
      </c>
      <c r="G207" s="89">
        <f t="shared" si="10"/>
        <v>13495239</v>
      </c>
    </row>
    <row r="208" spans="1:7" s="53" customFormat="1" ht="54" customHeight="1">
      <c r="A208" s="95" t="s">
        <v>207</v>
      </c>
      <c r="B208" s="85" t="s">
        <v>208</v>
      </c>
      <c r="C208" s="85"/>
      <c r="D208" s="122"/>
      <c r="E208" s="85" t="s">
        <v>16</v>
      </c>
      <c r="F208" s="145">
        <v>7000</v>
      </c>
      <c r="G208" s="77">
        <f aca="true" t="shared" si="11" ref="G208:G221">D208+F208</f>
        <v>7000</v>
      </c>
    </row>
    <row r="209" spans="1:7" s="53" customFormat="1" ht="69.75" customHeight="1">
      <c r="A209" s="95" t="s">
        <v>123</v>
      </c>
      <c r="B209" s="85" t="s">
        <v>124</v>
      </c>
      <c r="C209" s="85" t="s">
        <v>26</v>
      </c>
      <c r="D209" s="122">
        <f>3201442+185549+225250+99000+252410-175250</f>
        <v>3788401</v>
      </c>
      <c r="E209" s="85" t="s">
        <v>26</v>
      </c>
      <c r="F209" s="145">
        <v>6203691</v>
      </c>
      <c r="G209" s="77">
        <f>D209+F209</f>
        <v>9992092</v>
      </c>
    </row>
    <row r="210" spans="1:7" s="53" customFormat="1" ht="63">
      <c r="A210" s="179" t="s">
        <v>125</v>
      </c>
      <c r="B210" s="180" t="s">
        <v>126</v>
      </c>
      <c r="C210" s="85" t="s">
        <v>26</v>
      </c>
      <c r="D210" s="122">
        <f>3059895+87849+57000</f>
        <v>3204744</v>
      </c>
      <c r="E210" s="85" t="s">
        <v>26</v>
      </c>
      <c r="F210" s="145">
        <v>290451</v>
      </c>
      <c r="G210" s="77">
        <f>D210+F210</f>
        <v>3495195</v>
      </c>
    </row>
    <row r="211" spans="1:7" s="53" customFormat="1" ht="68.25" customHeight="1">
      <c r="A211" s="179"/>
      <c r="B211" s="180"/>
      <c r="C211" s="85" t="s">
        <v>164</v>
      </c>
      <c r="D211" s="122">
        <f>1190-238</f>
        <v>952</v>
      </c>
      <c r="E211" s="85"/>
      <c r="F211" s="145"/>
      <c r="G211" s="77">
        <f t="shared" si="11"/>
        <v>952</v>
      </c>
    </row>
    <row r="212" spans="1:7" s="53" customFormat="1" ht="47.25">
      <c r="A212" s="86" t="s">
        <v>195</v>
      </c>
      <c r="B212" s="87" t="s">
        <v>93</v>
      </c>
      <c r="C212" s="85"/>
      <c r="D212" s="127">
        <f>D216</f>
        <v>499000</v>
      </c>
      <c r="E212" s="94"/>
      <c r="F212" s="127">
        <f>F213+F214+F215</f>
        <v>1968916</v>
      </c>
      <c r="G212" s="88">
        <f>D212+F212</f>
        <v>2467916</v>
      </c>
    </row>
    <row r="213" spans="1:7" s="53" customFormat="1" ht="47.25">
      <c r="A213" s="95" t="s">
        <v>207</v>
      </c>
      <c r="B213" s="85" t="s">
        <v>208</v>
      </c>
      <c r="C213" s="85"/>
      <c r="D213" s="122"/>
      <c r="E213" s="85" t="s">
        <v>16</v>
      </c>
      <c r="F213" s="122">
        <v>35000</v>
      </c>
      <c r="G213" s="76">
        <f t="shared" si="11"/>
        <v>35000</v>
      </c>
    </row>
    <row r="214" spans="1:7" s="53" customFormat="1" ht="63">
      <c r="A214" s="95" t="s">
        <v>119</v>
      </c>
      <c r="B214" s="85" t="s">
        <v>120</v>
      </c>
      <c r="C214" s="85"/>
      <c r="D214" s="133"/>
      <c r="E214" s="85" t="s">
        <v>27</v>
      </c>
      <c r="F214" s="145">
        <f>3511384+4054385-3000000-3000000</f>
        <v>1565769</v>
      </c>
      <c r="G214" s="76">
        <f t="shared" si="11"/>
        <v>1565769</v>
      </c>
    </row>
    <row r="215" spans="1:7" s="53" customFormat="1" ht="63.75" customHeight="1">
      <c r="A215" s="95" t="s">
        <v>134</v>
      </c>
      <c r="B215" s="85" t="s">
        <v>135</v>
      </c>
      <c r="C215" s="85"/>
      <c r="D215" s="133"/>
      <c r="E215" s="85" t="s">
        <v>27</v>
      </c>
      <c r="F215" s="132">
        <f>3500000+5868147-9000000</f>
        <v>368147</v>
      </c>
      <c r="G215" s="76">
        <f t="shared" si="11"/>
        <v>368147</v>
      </c>
    </row>
    <row r="216" spans="1:7" s="53" customFormat="1" ht="53.25" customHeight="1">
      <c r="A216" s="95" t="s">
        <v>112</v>
      </c>
      <c r="B216" s="85" t="s">
        <v>127</v>
      </c>
      <c r="C216" s="85" t="s">
        <v>364</v>
      </c>
      <c r="D216" s="122">
        <f>309000+190000</f>
        <v>499000</v>
      </c>
      <c r="E216" s="85"/>
      <c r="F216" s="132"/>
      <c r="G216" s="76">
        <f t="shared" si="11"/>
        <v>499000</v>
      </c>
    </row>
    <row r="217" spans="1:7" s="53" customFormat="1" ht="46.5" customHeight="1">
      <c r="A217" s="86" t="s">
        <v>194</v>
      </c>
      <c r="B217" s="87" t="s">
        <v>72</v>
      </c>
      <c r="C217" s="85"/>
      <c r="D217" s="127">
        <f>D219+D220</f>
        <v>45802</v>
      </c>
      <c r="E217" s="94"/>
      <c r="F217" s="135">
        <f>F218</f>
        <v>70000</v>
      </c>
      <c r="G217" s="89">
        <f>D217+F217</f>
        <v>115802</v>
      </c>
    </row>
    <row r="218" spans="1:7" s="53" customFormat="1" ht="46.5" customHeight="1">
      <c r="A218" s="181" t="s">
        <v>207</v>
      </c>
      <c r="B218" s="184" t="s">
        <v>208</v>
      </c>
      <c r="C218" s="85"/>
      <c r="D218" s="129"/>
      <c r="E218" s="85" t="s">
        <v>16</v>
      </c>
      <c r="F218" s="132">
        <v>70000</v>
      </c>
      <c r="G218" s="77">
        <f>D218+F218</f>
        <v>70000</v>
      </c>
    </row>
    <row r="219" spans="1:7" s="53" customFormat="1" ht="63.75" customHeight="1">
      <c r="A219" s="191"/>
      <c r="B219" s="188"/>
      <c r="C219" s="85" t="s">
        <v>163</v>
      </c>
      <c r="D219" s="129">
        <v>2602</v>
      </c>
      <c r="E219" s="85"/>
      <c r="F219" s="149"/>
      <c r="G219" s="77">
        <f>D219+F219</f>
        <v>2602</v>
      </c>
    </row>
    <row r="220" spans="1:7" s="53" customFormat="1" ht="39" customHeight="1">
      <c r="A220" s="95" t="s">
        <v>112</v>
      </c>
      <c r="B220" s="85" t="s">
        <v>127</v>
      </c>
      <c r="C220" s="85" t="s">
        <v>156</v>
      </c>
      <c r="D220" s="122">
        <v>43200</v>
      </c>
      <c r="E220" s="85"/>
      <c r="F220" s="138"/>
      <c r="G220" s="77">
        <f t="shared" si="11"/>
        <v>43200</v>
      </c>
    </row>
    <row r="221" spans="1:7" s="53" customFormat="1" ht="47.25" customHeight="1" hidden="1">
      <c r="A221" s="86" t="s">
        <v>235</v>
      </c>
      <c r="B221" s="87" t="s">
        <v>72</v>
      </c>
      <c r="C221" s="85"/>
      <c r="D221" s="142">
        <v>0</v>
      </c>
      <c r="E221" s="85"/>
      <c r="F221" s="127">
        <f>F223+F224</f>
        <v>0</v>
      </c>
      <c r="G221" s="88">
        <f t="shared" si="11"/>
        <v>0</v>
      </c>
    </row>
    <row r="222" spans="1:7" s="53" customFormat="1" ht="45" customHeight="1" hidden="1">
      <c r="A222" s="95" t="s">
        <v>136</v>
      </c>
      <c r="B222" s="85" t="s">
        <v>237</v>
      </c>
      <c r="C222" s="85"/>
      <c r="D222" s="133"/>
      <c r="E222" s="85" t="s">
        <v>245</v>
      </c>
      <c r="F222" s="145">
        <v>0</v>
      </c>
      <c r="G222" s="90">
        <v>0</v>
      </c>
    </row>
    <row r="223" spans="1:7" s="53" customFormat="1" ht="51.75" customHeight="1" hidden="1">
      <c r="A223" s="186">
        <v>250380</v>
      </c>
      <c r="B223" s="184" t="s">
        <v>341</v>
      </c>
      <c r="C223" s="85"/>
      <c r="D223" s="133"/>
      <c r="E223" s="85" t="s">
        <v>322</v>
      </c>
      <c r="F223" s="132">
        <v>0</v>
      </c>
      <c r="G223" s="77">
        <f>F223</f>
        <v>0</v>
      </c>
    </row>
    <row r="224" spans="1:7" s="53" customFormat="1" ht="51.75" customHeight="1" hidden="1">
      <c r="A224" s="187"/>
      <c r="B224" s="188"/>
      <c r="C224" s="85"/>
      <c r="D224" s="133"/>
      <c r="E224" s="85" t="s">
        <v>344</v>
      </c>
      <c r="F224" s="132">
        <v>0</v>
      </c>
      <c r="G224" s="77">
        <f>F224</f>
        <v>0</v>
      </c>
    </row>
    <row r="225" spans="1:7" s="53" customFormat="1" ht="47.25">
      <c r="A225" s="86" t="s">
        <v>176</v>
      </c>
      <c r="B225" s="87" t="s">
        <v>75</v>
      </c>
      <c r="C225" s="85"/>
      <c r="D225" s="127">
        <f>D228+D231+D232+D233+D234+D236+D237+D229+D235+D227</f>
        <v>1271893</v>
      </c>
      <c r="E225" s="85"/>
      <c r="F225" s="127">
        <f>F226+F230</f>
        <v>51499</v>
      </c>
      <c r="G225" s="88">
        <f>D225+F225</f>
        <v>1323392</v>
      </c>
    </row>
    <row r="226" spans="1:7" s="53" customFormat="1" ht="53.25" customHeight="1">
      <c r="A226" s="95" t="s">
        <v>207</v>
      </c>
      <c r="B226" s="85" t="s">
        <v>208</v>
      </c>
      <c r="C226" s="85"/>
      <c r="D226" s="122"/>
      <c r="E226" s="85" t="s">
        <v>16</v>
      </c>
      <c r="F226" s="132">
        <f>68812+24300-42080</f>
        <v>51032</v>
      </c>
      <c r="G226" s="77">
        <f>F226</f>
        <v>51032</v>
      </c>
    </row>
    <row r="227" spans="1:7" s="53" customFormat="1" ht="53.25" customHeight="1">
      <c r="A227" s="95" t="s">
        <v>121</v>
      </c>
      <c r="B227" s="95" t="s">
        <v>128</v>
      </c>
      <c r="C227" s="102" t="s">
        <v>364</v>
      </c>
      <c r="D227" s="122">
        <f>7822</f>
        <v>7822</v>
      </c>
      <c r="E227" s="85"/>
      <c r="F227" s="132"/>
      <c r="G227" s="77">
        <f>D227+F227</f>
        <v>7822</v>
      </c>
    </row>
    <row r="228" spans="1:7" s="53" customFormat="1" ht="52.5" customHeight="1">
      <c r="A228" s="95" t="s">
        <v>129</v>
      </c>
      <c r="B228" s="85" t="s">
        <v>130</v>
      </c>
      <c r="C228" s="85" t="s">
        <v>365</v>
      </c>
      <c r="D228" s="122">
        <f>510000+114800+43194-7822</f>
        <v>660172</v>
      </c>
      <c r="E228" s="85"/>
      <c r="F228" s="132"/>
      <c r="G228" s="77">
        <f>D228</f>
        <v>660172</v>
      </c>
    </row>
    <row r="229" spans="1:7" s="53" customFormat="1" ht="71.25" customHeight="1">
      <c r="A229" s="95" t="s">
        <v>123</v>
      </c>
      <c r="B229" s="85" t="s">
        <v>124</v>
      </c>
      <c r="C229" s="85" t="s">
        <v>26</v>
      </c>
      <c r="D229" s="122">
        <v>60000</v>
      </c>
      <c r="E229" s="85"/>
      <c r="F229" s="132"/>
      <c r="G229" s="77">
        <f>D229</f>
        <v>60000</v>
      </c>
    </row>
    <row r="230" spans="1:7" s="53" customFormat="1" ht="95.25" customHeight="1">
      <c r="A230" s="95" t="s">
        <v>106</v>
      </c>
      <c r="B230" s="85" t="s">
        <v>268</v>
      </c>
      <c r="C230" s="85"/>
      <c r="D230" s="122"/>
      <c r="E230" s="85" t="s">
        <v>249</v>
      </c>
      <c r="F230" s="132">
        <f>467</f>
        <v>467</v>
      </c>
      <c r="G230" s="77">
        <f>F230</f>
        <v>467</v>
      </c>
    </row>
    <row r="231" spans="1:7" s="53" customFormat="1" ht="50.25" customHeight="1">
      <c r="A231" s="179" t="s">
        <v>112</v>
      </c>
      <c r="B231" s="180" t="s">
        <v>127</v>
      </c>
      <c r="C231" s="85" t="s">
        <v>28</v>
      </c>
      <c r="D231" s="122">
        <v>155037</v>
      </c>
      <c r="E231" s="85"/>
      <c r="F231" s="138"/>
      <c r="G231" s="77">
        <f aca="true" t="shared" si="12" ref="G231:G237">D231</f>
        <v>155037</v>
      </c>
    </row>
    <row r="232" spans="1:7" s="53" customFormat="1" ht="54" customHeight="1">
      <c r="A232" s="179"/>
      <c r="B232" s="180"/>
      <c r="C232" s="85" t="s">
        <v>365</v>
      </c>
      <c r="D232" s="122">
        <v>66308</v>
      </c>
      <c r="E232" s="85"/>
      <c r="F232" s="138"/>
      <c r="G232" s="77">
        <f t="shared" si="12"/>
        <v>66308</v>
      </c>
    </row>
    <row r="233" spans="1:7" s="53" customFormat="1" ht="52.5" customHeight="1">
      <c r="A233" s="179"/>
      <c r="B233" s="180"/>
      <c r="C233" s="85" t="s">
        <v>29</v>
      </c>
      <c r="D233" s="122">
        <v>233800</v>
      </c>
      <c r="E233" s="85"/>
      <c r="F233" s="138"/>
      <c r="G233" s="77">
        <f t="shared" si="12"/>
        <v>233800</v>
      </c>
    </row>
    <row r="234" spans="1:7" s="53" customFormat="1" ht="71.25" customHeight="1">
      <c r="A234" s="179"/>
      <c r="B234" s="180"/>
      <c r="C234" s="85" t="s">
        <v>36</v>
      </c>
      <c r="D234" s="122">
        <v>5100</v>
      </c>
      <c r="E234" s="85"/>
      <c r="F234" s="138"/>
      <c r="G234" s="77">
        <f t="shared" si="12"/>
        <v>5100</v>
      </c>
    </row>
    <row r="235" spans="1:7" s="53" customFormat="1" ht="71.25" customHeight="1">
      <c r="A235" s="179"/>
      <c r="B235" s="180"/>
      <c r="C235" s="85" t="s">
        <v>157</v>
      </c>
      <c r="D235" s="122">
        <v>57391</v>
      </c>
      <c r="E235" s="85"/>
      <c r="F235" s="138"/>
      <c r="G235" s="77">
        <f t="shared" si="12"/>
        <v>57391</v>
      </c>
    </row>
    <row r="236" spans="1:7" s="53" customFormat="1" ht="66.75" customHeight="1">
      <c r="A236" s="179"/>
      <c r="B236" s="180"/>
      <c r="C236" s="85" t="s">
        <v>39</v>
      </c>
      <c r="D236" s="122">
        <v>25298</v>
      </c>
      <c r="E236" s="85"/>
      <c r="F236" s="138"/>
      <c r="G236" s="77">
        <f t="shared" si="12"/>
        <v>25298</v>
      </c>
    </row>
    <row r="237" spans="1:7" s="53" customFormat="1" ht="63.75" customHeight="1">
      <c r="A237" s="179"/>
      <c r="B237" s="180"/>
      <c r="C237" s="85" t="s">
        <v>163</v>
      </c>
      <c r="D237" s="122">
        <v>965</v>
      </c>
      <c r="E237" s="85"/>
      <c r="F237" s="138"/>
      <c r="G237" s="77">
        <f t="shared" si="12"/>
        <v>965</v>
      </c>
    </row>
    <row r="238" spans="1:7" s="53" customFormat="1" ht="47.25">
      <c r="A238" s="86" t="s">
        <v>177</v>
      </c>
      <c r="B238" s="87" t="s">
        <v>78</v>
      </c>
      <c r="C238" s="85"/>
      <c r="D238" s="127">
        <f>D240+D244+D245+D246+D249+D242+D247+D248</f>
        <v>894964</v>
      </c>
      <c r="E238" s="87"/>
      <c r="F238" s="127">
        <f>F239+F240+F241+F243</f>
        <v>44049</v>
      </c>
      <c r="G238" s="88">
        <f>D238+F238</f>
        <v>939013</v>
      </c>
    </row>
    <row r="239" spans="1:7" s="53" customFormat="1" ht="45.75" customHeight="1">
      <c r="A239" s="95" t="s">
        <v>207</v>
      </c>
      <c r="B239" s="85" t="s">
        <v>208</v>
      </c>
      <c r="C239" s="85"/>
      <c r="D239" s="122"/>
      <c r="E239" s="85" t="s">
        <v>16</v>
      </c>
      <c r="F239" s="132">
        <f>27827-6827</f>
        <v>21000</v>
      </c>
      <c r="G239" s="77">
        <f>F239</f>
        <v>21000</v>
      </c>
    </row>
    <row r="240" spans="1:7" s="53" customFormat="1" ht="50.25" customHeight="1">
      <c r="A240" s="179" t="s">
        <v>129</v>
      </c>
      <c r="B240" s="180" t="s">
        <v>130</v>
      </c>
      <c r="C240" s="85" t="s">
        <v>364</v>
      </c>
      <c r="D240" s="122">
        <f>440000+256512-7000</f>
        <v>689512</v>
      </c>
      <c r="E240" s="85" t="s">
        <v>365</v>
      </c>
      <c r="F240" s="132">
        <f>5146+6827</f>
        <v>11973</v>
      </c>
      <c r="G240" s="77">
        <f>D240+F240</f>
        <v>701485</v>
      </c>
    </row>
    <row r="241" spans="1:7" s="53" customFormat="1" ht="47.25">
      <c r="A241" s="179"/>
      <c r="B241" s="180"/>
      <c r="C241" s="85"/>
      <c r="D241" s="122"/>
      <c r="E241" s="91" t="s">
        <v>3</v>
      </c>
      <c r="F241" s="150">
        <v>396</v>
      </c>
      <c r="G241" s="111">
        <f>F241</f>
        <v>396</v>
      </c>
    </row>
    <row r="242" spans="1:7" s="53" customFormat="1" ht="63">
      <c r="A242" s="95" t="s">
        <v>123</v>
      </c>
      <c r="B242" s="85" t="s">
        <v>124</v>
      </c>
      <c r="C242" s="85" t="s">
        <v>26</v>
      </c>
      <c r="D242" s="122">
        <f>60000+29000</f>
        <v>89000</v>
      </c>
      <c r="E242" s="91"/>
      <c r="F242" s="150"/>
      <c r="G242" s="130">
        <f>F242+D242</f>
        <v>89000</v>
      </c>
    </row>
    <row r="243" spans="1:7" s="53" customFormat="1" ht="99.75" customHeight="1">
      <c r="A243" s="95" t="s">
        <v>106</v>
      </c>
      <c r="B243" s="85" t="s">
        <v>268</v>
      </c>
      <c r="C243" s="85"/>
      <c r="D243" s="122"/>
      <c r="E243" s="85" t="s">
        <v>249</v>
      </c>
      <c r="F243" s="132">
        <f>10680</f>
        <v>10680</v>
      </c>
      <c r="G243" s="77">
        <f>F243</f>
        <v>10680</v>
      </c>
    </row>
    <row r="244" spans="1:7" s="53" customFormat="1" ht="47.25">
      <c r="A244" s="179" t="s">
        <v>112</v>
      </c>
      <c r="B244" s="180" t="s">
        <v>127</v>
      </c>
      <c r="C244" s="85" t="s">
        <v>34</v>
      </c>
      <c r="D244" s="122">
        <v>10800</v>
      </c>
      <c r="E244" s="85"/>
      <c r="F244" s="138"/>
      <c r="G244" s="77">
        <f>D244</f>
        <v>10800</v>
      </c>
    </row>
    <row r="245" spans="1:7" s="53" customFormat="1" ht="56.25" customHeight="1">
      <c r="A245" s="179"/>
      <c r="B245" s="180"/>
      <c r="C245" s="85" t="s">
        <v>29</v>
      </c>
      <c r="D245" s="122">
        <f>31950+31950</f>
        <v>63900</v>
      </c>
      <c r="E245" s="85"/>
      <c r="F245" s="138"/>
      <c r="G245" s="77">
        <f>D245</f>
        <v>63900</v>
      </c>
    </row>
    <row r="246" spans="1:7" s="53" customFormat="1" ht="66.75" customHeight="1">
      <c r="A246" s="179"/>
      <c r="B246" s="180"/>
      <c r="C246" s="85" t="s">
        <v>36</v>
      </c>
      <c r="D246" s="122">
        <v>5100</v>
      </c>
      <c r="E246" s="85"/>
      <c r="F246" s="138"/>
      <c r="G246" s="77">
        <f>D246</f>
        <v>5100</v>
      </c>
    </row>
    <row r="247" spans="1:7" s="53" customFormat="1" ht="66.75" customHeight="1" hidden="1">
      <c r="A247" s="179"/>
      <c r="B247" s="180"/>
      <c r="C247" s="85" t="s">
        <v>364</v>
      </c>
      <c r="D247" s="122">
        <f>9926-9926</f>
        <v>0</v>
      </c>
      <c r="E247" s="85"/>
      <c r="F247" s="138"/>
      <c r="G247" s="77">
        <f>D247+F247</f>
        <v>0</v>
      </c>
    </row>
    <row r="248" spans="1:7" s="53" customFormat="1" ht="66.75" customHeight="1">
      <c r="A248" s="179"/>
      <c r="B248" s="180"/>
      <c r="C248" s="85" t="s">
        <v>157</v>
      </c>
      <c r="D248" s="122">
        <v>15244</v>
      </c>
      <c r="E248" s="85"/>
      <c r="F248" s="138"/>
      <c r="G248" s="77">
        <f>D248+F248</f>
        <v>15244</v>
      </c>
    </row>
    <row r="249" spans="1:7" s="53" customFormat="1" ht="63">
      <c r="A249" s="179"/>
      <c r="B249" s="180"/>
      <c r="C249" s="85" t="s">
        <v>39</v>
      </c>
      <c r="D249" s="122">
        <v>21408</v>
      </c>
      <c r="E249" s="85"/>
      <c r="F249" s="138"/>
      <c r="G249" s="77">
        <f>D249</f>
        <v>21408</v>
      </c>
    </row>
    <row r="250" spans="1:7" s="53" customFormat="1" ht="47.25">
      <c r="A250" s="86" t="s">
        <v>178</v>
      </c>
      <c r="B250" s="87" t="s">
        <v>79</v>
      </c>
      <c r="C250" s="85"/>
      <c r="D250" s="127">
        <f>D251+D252+D256+D257+D258+D259+D260+D262+D254+D261</f>
        <v>1800702</v>
      </c>
      <c r="E250" s="87"/>
      <c r="F250" s="127">
        <f>F251+F252+F253+F255</f>
        <v>1343797</v>
      </c>
      <c r="G250" s="88">
        <f>D250+F250</f>
        <v>3144499</v>
      </c>
    </row>
    <row r="251" spans="1:7" s="53" customFormat="1" ht="53.25" customHeight="1">
      <c r="A251" s="95" t="s">
        <v>207</v>
      </c>
      <c r="B251" s="85" t="s">
        <v>208</v>
      </c>
      <c r="C251" s="85"/>
      <c r="D251" s="122"/>
      <c r="E251" s="85" t="s">
        <v>16</v>
      </c>
      <c r="F251" s="132">
        <f>27975+68300-6975</f>
        <v>89300</v>
      </c>
      <c r="G251" s="77">
        <f>F251</f>
        <v>89300</v>
      </c>
    </row>
    <row r="252" spans="1:7" s="53" customFormat="1" ht="56.25" customHeight="1">
      <c r="A252" s="95" t="s">
        <v>129</v>
      </c>
      <c r="B252" s="85" t="s">
        <v>130</v>
      </c>
      <c r="C252" s="85" t="s">
        <v>365</v>
      </c>
      <c r="D252" s="122">
        <f>710000+652709</f>
        <v>1362709</v>
      </c>
      <c r="E252" s="85" t="s">
        <v>365</v>
      </c>
      <c r="F252" s="132">
        <v>132173</v>
      </c>
      <c r="G252" s="77">
        <f>D252+F252</f>
        <v>1494882</v>
      </c>
    </row>
    <row r="253" spans="1:7" s="53" customFormat="1" ht="47.25">
      <c r="A253" s="95" t="s">
        <v>119</v>
      </c>
      <c r="B253" s="85" t="s">
        <v>120</v>
      </c>
      <c r="C253" s="85"/>
      <c r="D253" s="122"/>
      <c r="E253" s="85" t="s">
        <v>365</v>
      </c>
      <c r="F253" s="132">
        <f>4407946+288810-2988810-598805</f>
        <v>1109141</v>
      </c>
      <c r="G253" s="77">
        <f>F253</f>
        <v>1109141</v>
      </c>
    </row>
    <row r="254" spans="1:7" s="53" customFormat="1" ht="63">
      <c r="A254" s="95" t="s">
        <v>123</v>
      </c>
      <c r="B254" s="85" t="s">
        <v>124</v>
      </c>
      <c r="C254" s="85" t="s">
        <v>26</v>
      </c>
      <c r="D254" s="122">
        <f>60000+30000</f>
        <v>90000</v>
      </c>
      <c r="E254" s="85"/>
      <c r="F254" s="132"/>
      <c r="G254" s="77">
        <f>F254+D254</f>
        <v>90000</v>
      </c>
    </row>
    <row r="255" spans="1:7" s="53" customFormat="1" ht="99.75" customHeight="1">
      <c r="A255" s="95" t="s">
        <v>106</v>
      </c>
      <c r="B255" s="85" t="s">
        <v>268</v>
      </c>
      <c r="C255" s="85"/>
      <c r="D255" s="122"/>
      <c r="E255" s="85" t="s">
        <v>249</v>
      </c>
      <c r="F255" s="132">
        <f>13183</f>
        <v>13183</v>
      </c>
      <c r="G255" s="77">
        <f>F255</f>
        <v>13183</v>
      </c>
    </row>
    <row r="256" spans="1:7" s="53" customFormat="1" ht="54" customHeight="1">
      <c r="A256" s="179" t="s">
        <v>112</v>
      </c>
      <c r="B256" s="180" t="s">
        <v>127</v>
      </c>
      <c r="C256" s="85" t="s">
        <v>34</v>
      </c>
      <c r="D256" s="122">
        <v>108138</v>
      </c>
      <c r="E256" s="85"/>
      <c r="F256" s="138"/>
      <c r="G256" s="77">
        <f aca="true" t="shared" si="13" ref="G256:G262">D256</f>
        <v>108138</v>
      </c>
    </row>
    <row r="257" spans="1:7" s="53" customFormat="1" ht="54" customHeight="1">
      <c r="A257" s="179"/>
      <c r="B257" s="180"/>
      <c r="C257" s="85" t="s">
        <v>365</v>
      </c>
      <c r="D257" s="122">
        <v>66600</v>
      </c>
      <c r="E257" s="85"/>
      <c r="F257" s="138"/>
      <c r="G257" s="77">
        <f t="shared" si="13"/>
        <v>66600</v>
      </c>
    </row>
    <row r="258" spans="1:7" s="53" customFormat="1" ht="53.25" customHeight="1">
      <c r="A258" s="179"/>
      <c r="B258" s="180"/>
      <c r="C258" s="85" t="s">
        <v>29</v>
      </c>
      <c r="D258" s="122">
        <f>38505+20215</f>
        <v>58720</v>
      </c>
      <c r="E258" s="85"/>
      <c r="F258" s="138"/>
      <c r="G258" s="77">
        <f t="shared" si="13"/>
        <v>58720</v>
      </c>
    </row>
    <row r="259" spans="1:7" s="53" customFormat="1" ht="63">
      <c r="A259" s="179"/>
      <c r="B259" s="180"/>
      <c r="C259" s="85" t="s">
        <v>36</v>
      </c>
      <c r="D259" s="122">
        <v>2756</v>
      </c>
      <c r="E259" s="85"/>
      <c r="F259" s="138"/>
      <c r="G259" s="77">
        <f t="shared" si="13"/>
        <v>2756</v>
      </c>
    </row>
    <row r="260" spans="1:7" s="53" customFormat="1" ht="63">
      <c r="A260" s="179"/>
      <c r="B260" s="180"/>
      <c r="C260" s="85" t="s">
        <v>39</v>
      </c>
      <c r="D260" s="122">
        <f>18932+14100</f>
        <v>33032</v>
      </c>
      <c r="E260" s="85"/>
      <c r="F260" s="138"/>
      <c r="G260" s="77">
        <f t="shared" si="13"/>
        <v>33032</v>
      </c>
    </row>
    <row r="261" spans="1:7" s="53" customFormat="1" ht="47.25">
      <c r="A261" s="179"/>
      <c r="B261" s="180"/>
      <c r="C261" s="85" t="s">
        <v>157</v>
      </c>
      <c r="D261" s="122">
        <v>67182</v>
      </c>
      <c r="E261" s="85"/>
      <c r="F261" s="138"/>
      <c r="G261" s="77">
        <f>F261+D261</f>
        <v>67182</v>
      </c>
    </row>
    <row r="262" spans="1:7" s="53" customFormat="1" ht="63">
      <c r="A262" s="179"/>
      <c r="B262" s="180"/>
      <c r="C262" s="85" t="s">
        <v>163</v>
      </c>
      <c r="D262" s="122">
        <v>11565</v>
      </c>
      <c r="E262" s="85"/>
      <c r="F262" s="138"/>
      <c r="G262" s="77">
        <f t="shared" si="13"/>
        <v>11565</v>
      </c>
    </row>
    <row r="263" spans="1:7" s="53" customFormat="1" ht="47.25">
      <c r="A263" s="86" t="s">
        <v>179</v>
      </c>
      <c r="B263" s="87" t="s">
        <v>80</v>
      </c>
      <c r="C263" s="85"/>
      <c r="D263" s="127">
        <f>D265+D269+D270+D271+D272+D273+D275+D267+D268+D274</f>
        <v>1238876</v>
      </c>
      <c r="E263" s="87"/>
      <c r="F263" s="127">
        <f>F264+F265+F266</f>
        <v>148673</v>
      </c>
      <c r="G263" s="89">
        <f>D263+F263</f>
        <v>1387549</v>
      </c>
    </row>
    <row r="264" spans="1:7" s="53" customFormat="1" ht="47.25">
      <c r="A264" s="95" t="s">
        <v>207</v>
      </c>
      <c r="B264" s="85" t="s">
        <v>208</v>
      </c>
      <c r="C264" s="85"/>
      <c r="D264" s="122"/>
      <c r="E264" s="85" t="s">
        <v>35</v>
      </c>
      <c r="F264" s="132">
        <f>42375+20767</f>
        <v>63142</v>
      </c>
      <c r="G264" s="77">
        <f>F264</f>
        <v>63142</v>
      </c>
    </row>
    <row r="265" spans="1:7" s="53" customFormat="1" ht="47.25">
      <c r="A265" s="95" t="s">
        <v>129</v>
      </c>
      <c r="B265" s="85" t="s">
        <v>130</v>
      </c>
      <c r="C265" s="85" t="s">
        <v>365</v>
      </c>
      <c r="D265" s="122">
        <f>480000+391197+37867</f>
        <v>909064</v>
      </c>
      <c r="E265" s="85" t="s">
        <v>365</v>
      </c>
      <c r="F265" s="132">
        <f>10000+46800</f>
        <v>56800</v>
      </c>
      <c r="G265" s="77">
        <f>D265+F265</f>
        <v>965864</v>
      </c>
    </row>
    <row r="266" spans="1:7" s="53" customFormat="1" ht="53.25" customHeight="1">
      <c r="A266" s="95" t="s">
        <v>119</v>
      </c>
      <c r="B266" s="85" t="s">
        <v>120</v>
      </c>
      <c r="C266" s="85"/>
      <c r="D266" s="122"/>
      <c r="E266" s="85" t="s">
        <v>365</v>
      </c>
      <c r="F266" s="132">
        <f>221000+807731-1000000</f>
        <v>28731</v>
      </c>
      <c r="G266" s="77">
        <f>F266</f>
        <v>28731</v>
      </c>
    </row>
    <row r="267" spans="1:7" s="53" customFormat="1" ht="53.25" customHeight="1">
      <c r="A267" s="95" t="s">
        <v>250</v>
      </c>
      <c r="B267" s="85" t="s">
        <v>251</v>
      </c>
      <c r="C267" s="85" t="s">
        <v>312</v>
      </c>
      <c r="D267" s="133">
        <v>22725</v>
      </c>
      <c r="E267" s="85"/>
      <c r="F267" s="132"/>
      <c r="G267" s="77">
        <f>D267+F267</f>
        <v>22725</v>
      </c>
    </row>
    <row r="268" spans="1:7" s="53" customFormat="1" ht="73.5" customHeight="1">
      <c r="A268" s="95" t="s">
        <v>123</v>
      </c>
      <c r="B268" s="85" t="s">
        <v>124</v>
      </c>
      <c r="C268" s="85" t="s">
        <v>26</v>
      </c>
      <c r="D268" s="133">
        <f>60000+27975</f>
        <v>87975</v>
      </c>
      <c r="E268" s="85"/>
      <c r="F268" s="132"/>
      <c r="G268" s="77">
        <f>D268+F268</f>
        <v>87975</v>
      </c>
    </row>
    <row r="269" spans="1:7" s="53" customFormat="1" ht="47.25">
      <c r="A269" s="179" t="s">
        <v>112</v>
      </c>
      <c r="B269" s="180" t="s">
        <v>127</v>
      </c>
      <c r="C269" s="85" t="s">
        <v>28</v>
      </c>
      <c r="D269" s="122">
        <v>111797</v>
      </c>
      <c r="E269" s="85"/>
      <c r="F269" s="138"/>
      <c r="G269" s="77">
        <f aca="true" t="shared" si="14" ref="G269:G275">D269</f>
        <v>111797</v>
      </c>
    </row>
    <row r="270" spans="1:7" s="53" customFormat="1" ht="52.5" customHeight="1">
      <c r="A270" s="179"/>
      <c r="B270" s="180"/>
      <c r="C270" s="85" t="s">
        <v>365</v>
      </c>
      <c r="D270" s="122">
        <v>16686</v>
      </c>
      <c r="E270" s="85"/>
      <c r="F270" s="138"/>
      <c r="G270" s="77">
        <f t="shared" si="14"/>
        <v>16686</v>
      </c>
    </row>
    <row r="271" spans="1:7" s="53" customFormat="1" ht="54" customHeight="1">
      <c r="A271" s="179"/>
      <c r="B271" s="180"/>
      <c r="C271" s="85" t="s">
        <v>29</v>
      </c>
      <c r="D271" s="122">
        <f>26015+20991</f>
        <v>47006</v>
      </c>
      <c r="E271" s="85"/>
      <c r="F271" s="138"/>
      <c r="G271" s="77">
        <f t="shared" si="14"/>
        <v>47006</v>
      </c>
    </row>
    <row r="272" spans="1:7" s="53" customFormat="1" ht="68.25" customHeight="1">
      <c r="A272" s="179"/>
      <c r="B272" s="180"/>
      <c r="C272" s="85" t="s">
        <v>36</v>
      </c>
      <c r="D272" s="122">
        <v>4133</v>
      </c>
      <c r="E272" s="85"/>
      <c r="F272" s="138"/>
      <c r="G272" s="77">
        <f t="shared" si="14"/>
        <v>4133</v>
      </c>
    </row>
    <row r="273" spans="1:7" s="53" customFormat="1" ht="63">
      <c r="A273" s="179"/>
      <c r="B273" s="180"/>
      <c r="C273" s="85" t="s">
        <v>39</v>
      </c>
      <c r="D273" s="122">
        <v>23096</v>
      </c>
      <c r="E273" s="85"/>
      <c r="F273" s="138"/>
      <c r="G273" s="77">
        <f t="shared" si="14"/>
        <v>23096</v>
      </c>
    </row>
    <row r="274" spans="1:7" s="53" customFormat="1" ht="47.25">
      <c r="A274" s="179"/>
      <c r="B274" s="180"/>
      <c r="C274" s="85" t="s">
        <v>157</v>
      </c>
      <c r="D274" s="122">
        <v>14332</v>
      </c>
      <c r="E274" s="85"/>
      <c r="F274" s="138"/>
      <c r="G274" s="77">
        <f t="shared" si="14"/>
        <v>14332</v>
      </c>
    </row>
    <row r="275" spans="1:7" s="53" customFormat="1" ht="69.75" customHeight="1">
      <c r="A275" s="179"/>
      <c r="B275" s="180"/>
      <c r="C275" s="85" t="s">
        <v>163</v>
      </c>
      <c r="D275" s="122">
        <v>2062</v>
      </c>
      <c r="E275" s="85"/>
      <c r="F275" s="138"/>
      <c r="G275" s="77">
        <f t="shared" si="14"/>
        <v>2062</v>
      </c>
    </row>
    <row r="276" spans="1:7" s="112" customFormat="1" ht="47.25">
      <c r="A276" s="86" t="s">
        <v>180</v>
      </c>
      <c r="B276" s="87" t="s">
        <v>81</v>
      </c>
      <c r="C276" s="87"/>
      <c r="D276" s="127">
        <f>D277+D280+D283+D284+D285+D286+D287+D289+D281+D288+D279</f>
        <v>1750464</v>
      </c>
      <c r="E276" s="87"/>
      <c r="F276" s="127">
        <f>F278+F282</f>
        <v>78115</v>
      </c>
      <c r="G276" s="88">
        <f>D276+F276</f>
        <v>1828579</v>
      </c>
    </row>
    <row r="277" spans="1:7" s="112" customFormat="1" ht="69" customHeight="1">
      <c r="A277" s="181" t="s">
        <v>207</v>
      </c>
      <c r="B277" s="184" t="s">
        <v>208</v>
      </c>
      <c r="C277" s="85" t="s">
        <v>163</v>
      </c>
      <c r="D277" s="122">
        <v>7791</v>
      </c>
      <c r="E277" s="85"/>
      <c r="F277" s="132"/>
      <c r="G277" s="77">
        <f>D277</f>
        <v>7791</v>
      </c>
    </row>
    <row r="278" spans="1:7" s="112" customFormat="1" ht="54.75" customHeight="1">
      <c r="A278" s="191"/>
      <c r="B278" s="188"/>
      <c r="C278" s="85"/>
      <c r="D278" s="122"/>
      <c r="E278" s="85" t="s">
        <v>16</v>
      </c>
      <c r="F278" s="132">
        <v>27975</v>
      </c>
      <c r="G278" s="77">
        <f>F278</f>
        <v>27975</v>
      </c>
    </row>
    <row r="279" spans="1:7" s="112" customFormat="1" ht="54.75" customHeight="1">
      <c r="A279" s="95" t="s">
        <v>121</v>
      </c>
      <c r="B279" s="95" t="s">
        <v>128</v>
      </c>
      <c r="C279" s="102" t="s">
        <v>364</v>
      </c>
      <c r="D279" s="122">
        <f>12148</f>
        <v>12148</v>
      </c>
      <c r="E279" s="85"/>
      <c r="F279" s="132"/>
      <c r="G279" s="77">
        <f>D279+F279</f>
        <v>12148</v>
      </c>
    </row>
    <row r="280" spans="1:7" s="53" customFormat="1" ht="49.5" customHeight="1">
      <c r="A280" s="95" t="s">
        <v>129</v>
      </c>
      <c r="B280" s="85" t="s">
        <v>130</v>
      </c>
      <c r="C280" s="85" t="s">
        <v>365</v>
      </c>
      <c r="D280" s="122">
        <f>768655+392094-12148</f>
        <v>1148601</v>
      </c>
      <c r="E280" s="85"/>
      <c r="F280" s="132"/>
      <c r="G280" s="77">
        <f>D280</f>
        <v>1148601</v>
      </c>
    </row>
    <row r="281" spans="1:7" s="53" customFormat="1" ht="77.25" customHeight="1">
      <c r="A281" s="95" t="s">
        <v>123</v>
      </c>
      <c r="B281" s="85" t="s">
        <v>124</v>
      </c>
      <c r="C281" s="85" t="s">
        <v>26</v>
      </c>
      <c r="D281" s="122">
        <v>60000</v>
      </c>
      <c r="E281" s="85"/>
      <c r="F281" s="132"/>
      <c r="G281" s="77">
        <f>D281</f>
        <v>60000</v>
      </c>
    </row>
    <row r="282" spans="1:7" s="53" customFormat="1" ht="93.75" customHeight="1">
      <c r="A282" s="95" t="s">
        <v>106</v>
      </c>
      <c r="B282" s="85" t="s">
        <v>268</v>
      </c>
      <c r="C282" s="85"/>
      <c r="D282" s="122"/>
      <c r="E282" s="85" t="s">
        <v>249</v>
      </c>
      <c r="F282" s="132">
        <f>50000+140</f>
        <v>50140</v>
      </c>
      <c r="G282" s="77">
        <f>F282</f>
        <v>50140</v>
      </c>
    </row>
    <row r="283" spans="1:7" s="53" customFormat="1" ht="47.25">
      <c r="A283" s="179" t="s">
        <v>112</v>
      </c>
      <c r="B283" s="180" t="s">
        <v>127</v>
      </c>
      <c r="C283" s="85" t="s">
        <v>34</v>
      </c>
      <c r="D283" s="122">
        <v>245113</v>
      </c>
      <c r="E283" s="85"/>
      <c r="F283" s="138"/>
      <c r="G283" s="77">
        <f aca="true" t="shared" si="15" ref="G283:G289">D283</f>
        <v>245113</v>
      </c>
    </row>
    <row r="284" spans="1:7" s="53" customFormat="1" ht="47.25">
      <c r="A284" s="179"/>
      <c r="B284" s="180"/>
      <c r="C284" s="85" t="s">
        <v>29</v>
      </c>
      <c r="D284" s="122">
        <f>63468+58560</f>
        <v>122028</v>
      </c>
      <c r="E284" s="85"/>
      <c r="F284" s="138"/>
      <c r="G284" s="77">
        <f t="shared" si="15"/>
        <v>122028</v>
      </c>
    </row>
    <row r="285" spans="1:7" s="53" customFormat="1" ht="63">
      <c r="A285" s="179"/>
      <c r="B285" s="180"/>
      <c r="C285" s="85" t="s">
        <v>36</v>
      </c>
      <c r="D285" s="122">
        <v>3100</v>
      </c>
      <c r="E285" s="85"/>
      <c r="F285" s="138"/>
      <c r="G285" s="77">
        <f t="shared" si="15"/>
        <v>3100</v>
      </c>
    </row>
    <row r="286" spans="1:7" s="53" customFormat="1" ht="63">
      <c r="A286" s="179"/>
      <c r="B286" s="180"/>
      <c r="C286" s="85" t="s">
        <v>39</v>
      </c>
      <c r="D286" s="122">
        <v>18610</v>
      </c>
      <c r="E286" s="85"/>
      <c r="F286" s="138"/>
      <c r="G286" s="77">
        <f t="shared" si="15"/>
        <v>18610</v>
      </c>
    </row>
    <row r="287" spans="1:7" s="53" customFormat="1" ht="47.25">
      <c r="A287" s="179"/>
      <c r="B287" s="180"/>
      <c r="C287" s="85" t="s">
        <v>365</v>
      </c>
      <c r="D287" s="122">
        <v>32058</v>
      </c>
      <c r="E287" s="85"/>
      <c r="F287" s="138"/>
      <c r="G287" s="77">
        <f t="shared" si="15"/>
        <v>32058</v>
      </c>
    </row>
    <row r="288" spans="1:7" s="53" customFormat="1" ht="47.25">
      <c r="A288" s="179"/>
      <c r="B288" s="180"/>
      <c r="C288" s="85" t="s">
        <v>157</v>
      </c>
      <c r="D288" s="122">
        <f>99200+350</f>
        <v>99550</v>
      </c>
      <c r="E288" s="85"/>
      <c r="F288" s="138"/>
      <c r="G288" s="77">
        <f>D288+F288</f>
        <v>99550</v>
      </c>
    </row>
    <row r="289" spans="1:7" s="53" customFormat="1" ht="65.25" customHeight="1">
      <c r="A289" s="179"/>
      <c r="B289" s="180"/>
      <c r="C289" s="85" t="s">
        <v>163</v>
      </c>
      <c r="D289" s="122">
        <v>1465</v>
      </c>
      <c r="E289" s="85"/>
      <c r="F289" s="138"/>
      <c r="G289" s="77">
        <f t="shared" si="15"/>
        <v>1465</v>
      </c>
    </row>
    <row r="290" spans="1:7" s="112" customFormat="1" ht="47.25">
      <c r="A290" s="86" t="s">
        <v>181</v>
      </c>
      <c r="B290" s="87" t="s">
        <v>82</v>
      </c>
      <c r="C290" s="87"/>
      <c r="D290" s="127">
        <f>D293+D296+D297+D298+D299+D301+D302+D294+D300</f>
        <v>1311711</v>
      </c>
      <c r="E290" s="87"/>
      <c r="F290" s="127">
        <f>F291+F292+F293+F295</f>
        <v>101237</v>
      </c>
      <c r="G290" s="89">
        <f>D290+F290</f>
        <v>1412948</v>
      </c>
    </row>
    <row r="291" spans="1:7" s="112" customFormat="1" ht="49.5" customHeight="1">
      <c r="A291" s="95" t="s">
        <v>207</v>
      </c>
      <c r="B291" s="85" t="s">
        <v>208</v>
      </c>
      <c r="C291" s="85"/>
      <c r="D291" s="122"/>
      <c r="E291" s="85" t="s">
        <v>35</v>
      </c>
      <c r="F291" s="132">
        <f>27975-6975</f>
        <v>21000</v>
      </c>
      <c r="G291" s="77">
        <f>F291</f>
        <v>21000</v>
      </c>
    </row>
    <row r="292" spans="1:7" s="112" customFormat="1" ht="49.5" customHeight="1">
      <c r="A292" s="95" t="s">
        <v>119</v>
      </c>
      <c r="B292" s="85" t="s">
        <v>120</v>
      </c>
      <c r="C292" s="85"/>
      <c r="D292" s="122"/>
      <c r="E292" s="85" t="s">
        <v>365</v>
      </c>
      <c r="F292" s="132">
        <f>3000+758</f>
        <v>3758</v>
      </c>
      <c r="G292" s="77">
        <f>F292</f>
        <v>3758</v>
      </c>
    </row>
    <row r="293" spans="1:7" s="53" customFormat="1" ht="53.25" customHeight="1">
      <c r="A293" s="95" t="s">
        <v>129</v>
      </c>
      <c r="B293" s="85" t="s">
        <v>130</v>
      </c>
      <c r="C293" s="85" t="s">
        <v>365</v>
      </c>
      <c r="D293" s="122">
        <f>650000+398852</f>
        <v>1048852</v>
      </c>
      <c r="E293" s="85"/>
      <c r="F293" s="132"/>
      <c r="G293" s="77">
        <f>D293+F293</f>
        <v>1048852</v>
      </c>
    </row>
    <row r="294" spans="1:7" s="53" customFormat="1" ht="73.5" customHeight="1">
      <c r="A294" s="95" t="s">
        <v>123</v>
      </c>
      <c r="B294" s="85" t="s">
        <v>124</v>
      </c>
      <c r="C294" s="85" t="s">
        <v>26</v>
      </c>
      <c r="D294" s="122">
        <v>60000</v>
      </c>
      <c r="E294" s="85"/>
      <c r="F294" s="132"/>
      <c r="G294" s="77">
        <f>D294+F294</f>
        <v>60000</v>
      </c>
    </row>
    <row r="295" spans="1:7" s="53" customFormat="1" ht="93.75" customHeight="1">
      <c r="A295" s="95" t="s">
        <v>106</v>
      </c>
      <c r="B295" s="85" t="s">
        <v>268</v>
      </c>
      <c r="C295" s="85"/>
      <c r="D295" s="122"/>
      <c r="E295" s="85" t="s">
        <v>249</v>
      </c>
      <c r="F295" s="132">
        <f>50000+26479</f>
        <v>76479</v>
      </c>
      <c r="G295" s="77">
        <f>F295</f>
        <v>76479</v>
      </c>
    </row>
    <row r="296" spans="1:7" s="53" customFormat="1" ht="50.25" customHeight="1">
      <c r="A296" s="179" t="s">
        <v>112</v>
      </c>
      <c r="B296" s="180" t="s">
        <v>127</v>
      </c>
      <c r="C296" s="85" t="s">
        <v>28</v>
      </c>
      <c r="D296" s="122">
        <v>72092</v>
      </c>
      <c r="E296" s="85"/>
      <c r="F296" s="138"/>
      <c r="G296" s="77">
        <f aca="true" t="shared" si="16" ref="G296:G302">D296</f>
        <v>72092</v>
      </c>
    </row>
    <row r="297" spans="1:7" s="53" customFormat="1" ht="50.25" customHeight="1">
      <c r="A297" s="179"/>
      <c r="B297" s="180"/>
      <c r="C297" s="85" t="s">
        <v>29</v>
      </c>
      <c r="D297" s="122">
        <v>43038</v>
      </c>
      <c r="E297" s="85"/>
      <c r="F297" s="138"/>
      <c r="G297" s="77">
        <f t="shared" si="16"/>
        <v>43038</v>
      </c>
    </row>
    <row r="298" spans="1:7" s="53" customFormat="1" ht="66" customHeight="1">
      <c r="A298" s="179"/>
      <c r="B298" s="180"/>
      <c r="C298" s="85" t="s">
        <v>36</v>
      </c>
      <c r="D298" s="122">
        <v>2067</v>
      </c>
      <c r="E298" s="85"/>
      <c r="F298" s="138"/>
      <c r="G298" s="77">
        <f t="shared" si="16"/>
        <v>2067</v>
      </c>
    </row>
    <row r="299" spans="1:7" s="53" customFormat="1" ht="69.75" customHeight="1">
      <c r="A299" s="179"/>
      <c r="B299" s="180"/>
      <c r="C299" s="85" t="s">
        <v>39</v>
      </c>
      <c r="D299" s="122">
        <v>26781</v>
      </c>
      <c r="E299" s="85"/>
      <c r="F299" s="138"/>
      <c r="G299" s="77">
        <f t="shared" si="16"/>
        <v>26781</v>
      </c>
    </row>
    <row r="300" spans="1:7" s="53" customFormat="1" ht="69.75" customHeight="1">
      <c r="A300" s="179"/>
      <c r="B300" s="180"/>
      <c r="C300" s="85" t="s">
        <v>157</v>
      </c>
      <c r="D300" s="122">
        <v>24832</v>
      </c>
      <c r="E300" s="85"/>
      <c r="F300" s="138"/>
      <c r="G300" s="77">
        <f t="shared" si="16"/>
        <v>24832</v>
      </c>
    </row>
    <row r="301" spans="1:7" s="53" customFormat="1" ht="53.25" customHeight="1">
      <c r="A301" s="179"/>
      <c r="B301" s="180"/>
      <c r="C301" s="85" t="s">
        <v>365</v>
      </c>
      <c r="D301" s="122">
        <v>33132</v>
      </c>
      <c r="E301" s="85"/>
      <c r="F301" s="138"/>
      <c r="G301" s="77">
        <f t="shared" si="16"/>
        <v>33132</v>
      </c>
    </row>
    <row r="302" spans="1:7" s="53" customFormat="1" ht="69" customHeight="1">
      <c r="A302" s="179"/>
      <c r="B302" s="180"/>
      <c r="C302" s="85" t="s">
        <v>164</v>
      </c>
      <c r="D302" s="122">
        <v>917</v>
      </c>
      <c r="E302" s="85"/>
      <c r="F302" s="138"/>
      <c r="G302" s="77">
        <f t="shared" si="16"/>
        <v>917</v>
      </c>
    </row>
    <row r="303" spans="1:7" s="53" customFormat="1" ht="46.5" customHeight="1">
      <c r="A303" s="86" t="s">
        <v>182</v>
      </c>
      <c r="B303" s="87" t="s">
        <v>83</v>
      </c>
      <c r="C303" s="85"/>
      <c r="D303" s="127">
        <f>D304+D306+D308+D309+D310+D311+D313+D314+D307+D312</f>
        <v>1335255</v>
      </c>
      <c r="E303" s="85"/>
      <c r="F303" s="127">
        <f>F305+F306</f>
        <v>97047</v>
      </c>
      <c r="G303" s="88">
        <f>D303+F303</f>
        <v>1432302</v>
      </c>
    </row>
    <row r="304" spans="1:7" s="53" customFormat="1" ht="98.25" customHeight="1">
      <c r="A304" s="179" t="s">
        <v>207</v>
      </c>
      <c r="B304" s="180" t="s">
        <v>208</v>
      </c>
      <c r="C304" s="85" t="s">
        <v>163</v>
      </c>
      <c r="D304" s="122">
        <v>339</v>
      </c>
      <c r="E304" s="85"/>
      <c r="F304" s="127"/>
      <c r="G304" s="77">
        <f>D304</f>
        <v>339</v>
      </c>
    </row>
    <row r="305" spans="1:7" s="53" customFormat="1" ht="47.25">
      <c r="A305" s="179"/>
      <c r="B305" s="180"/>
      <c r="C305" s="85"/>
      <c r="D305" s="122"/>
      <c r="E305" s="85" t="s">
        <v>35</v>
      </c>
      <c r="F305" s="132">
        <v>27975</v>
      </c>
      <c r="G305" s="77">
        <f>F305</f>
        <v>27975</v>
      </c>
    </row>
    <row r="306" spans="1:7" s="53" customFormat="1" ht="55.5" customHeight="1">
      <c r="A306" s="95" t="s">
        <v>129</v>
      </c>
      <c r="B306" s="85" t="s">
        <v>130</v>
      </c>
      <c r="C306" s="85" t="s">
        <v>365</v>
      </c>
      <c r="D306" s="122">
        <f>527000+373536</f>
        <v>900536</v>
      </c>
      <c r="E306" s="85" t="s">
        <v>365</v>
      </c>
      <c r="F306" s="132">
        <v>69072</v>
      </c>
      <c r="G306" s="77">
        <f>D306+F306</f>
        <v>969608</v>
      </c>
    </row>
    <row r="307" spans="1:7" s="53" customFormat="1" ht="73.5" customHeight="1">
      <c r="A307" s="95" t="s">
        <v>123</v>
      </c>
      <c r="B307" s="85" t="s">
        <v>124</v>
      </c>
      <c r="C307" s="85" t="s">
        <v>26</v>
      </c>
      <c r="D307" s="122">
        <f>60000+31275</f>
        <v>91275</v>
      </c>
      <c r="E307" s="85"/>
      <c r="F307" s="132"/>
      <c r="G307" s="77">
        <f>D307+F307</f>
        <v>91275</v>
      </c>
    </row>
    <row r="308" spans="1:7" s="53" customFormat="1" ht="47.25">
      <c r="A308" s="179" t="s">
        <v>112</v>
      </c>
      <c r="B308" s="180" t="s">
        <v>127</v>
      </c>
      <c r="C308" s="85" t="s">
        <v>28</v>
      </c>
      <c r="D308" s="122">
        <v>100929</v>
      </c>
      <c r="E308" s="85"/>
      <c r="F308" s="138"/>
      <c r="G308" s="77">
        <f aca="true" t="shared" si="17" ref="G308:G314">D308</f>
        <v>100929</v>
      </c>
    </row>
    <row r="309" spans="1:7" s="53" customFormat="1" ht="47.25">
      <c r="A309" s="179"/>
      <c r="B309" s="180"/>
      <c r="C309" s="85" t="s">
        <v>29</v>
      </c>
      <c r="D309" s="122">
        <f>60000+30000</f>
        <v>90000</v>
      </c>
      <c r="E309" s="85"/>
      <c r="F309" s="138"/>
      <c r="G309" s="77">
        <f t="shared" si="17"/>
        <v>90000</v>
      </c>
    </row>
    <row r="310" spans="1:7" s="53" customFormat="1" ht="63">
      <c r="A310" s="179"/>
      <c r="B310" s="180"/>
      <c r="C310" s="85" t="s">
        <v>36</v>
      </c>
      <c r="D310" s="122">
        <v>3500</v>
      </c>
      <c r="E310" s="85"/>
      <c r="F310" s="138"/>
      <c r="G310" s="77">
        <f t="shared" si="17"/>
        <v>3500</v>
      </c>
    </row>
    <row r="311" spans="1:7" s="53" customFormat="1" ht="63">
      <c r="A311" s="179"/>
      <c r="B311" s="180"/>
      <c r="C311" s="85" t="s">
        <v>39</v>
      </c>
      <c r="D311" s="122">
        <v>19000</v>
      </c>
      <c r="E311" s="85"/>
      <c r="F311" s="138"/>
      <c r="G311" s="77">
        <f t="shared" si="17"/>
        <v>19000</v>
      </c>
    </row>
    <row r="312" spans="1:7" s="53" customFormat="1" ht="47.25">
      <c r="A312" s="179"/>
      <c r="B312" s="180"/>
      <c r="C312" s="85" t="s">
        <v>157</v>
      </c>
      <c r="D312" s="122">
        <v>94850</v>
      </c>
      <c r="E312" s="85"/>
      <c r="F312" s="138"/>
      <c r="G312" s="77">
        <f t="shared" si="17"/>
        <v>94850</v>
      </c>
    </row>
    <row r="313" spans="1:7" s="53" customFormat="1" ht="47.25">
      <c r="A313" s="179"/>
      <c r="B313" s="180"/>
      <c r="C313" s="85" t="s">
        <v>365</v>
      </c>
      <c r="D313" s="122">
        <v>32792</v>
      </c>
      <c r="E313" s="85"/>
      <c r="F313" s="138"/>
      <c r="G313" s="77">
        <f t="shared" si="17"/>
        <v>32792</v>
      </c>
    </row>
    <row r="314" spans="1:7" s="53" customFormat="1" ht="68.25" customHeight="1">
      <c r="A314" s="179"/>
      <c r="B314" s="180"/>
      <c r="C314" s="85" t="s">
        <v>163</v>
      </c>
      <c r="D314" s="122">
        <v>2034</v>
      </c>
      <c r="E314" s="85"/>
      <c r="F314" s="138"/>
      <c r="G314" s="77">
        <f t="shared" si="17"/>
        <v>2034</v>
      </c>
    </row>
    <row r="315" spans="1:7" s="113" customFormat="1" ht="15.75">
      <c r="A315" s="87"/>
      <c r="B315" s="87" t="s">
        <v>101</v>
      </c>
      <c r="C315" s="87"/>
      <c r="D315" s="135">
        <f>D11+D24+D74+D98+D120+D142+D147+D176+D179+D187+D190+D195+D207+D212+D217+D221+D225+D238+D250+D263+D276+D290+D303</f>
        <v>331355814</v>
      </c>
      <c r="E315" s="109"/>
      <c r="F315" s="135">
        <f>F11+F24+F74+F98+F120+F142+F147+F176+F179+F187+F190+F195+F207+F212+F217+F221+F225+F238+F250+F263+F276+F290+F303+F118</f>
        <v>350270920</v>
      </c>
      <c r="G315" s="89">
        <f>D315+F315</f>
        <v>681626734</v>
      </c>
    </row>
    <row r="316" spans="1:7" ht="15" customHeight="1">
      <c r="A316" s="115"/>
      <c r="B316" s="115"/>
      <c r="C316" s="115"/>
      <c r="D316" s="143"/>
      <c r="E316" s="115"/>
      <c r="F316" s="143"/>
      <c r="G316" s="116"/>
    </row>
    <row r="317" spans="1:6" s="119" customFormat="1" ht="35.25" customHeight="1">
      <c r="A317" s="173" t="s">
        <v>242</v>
      </c>
      <c r="B317" s="173"/>
      <c r="C317" s="117"/>
      <c r="D317" s="144"/>
      <c r="E317" s="118"/>
      <c r="F317" s="151" t="s">
        <v>243</v>
      </c>
    </row>
    <row r="318" spans="6:7" ht="18" customHeight="1">
      <c r="F318" s="152"/>
      <c r="G318" s="114"/>
    </row>
    <row r="319" spans="4:6" s="164" customFormat="1" ht="18.75">
      <c r="D319" s="165"/>
      <c r="F319" s="165"/>
    </row>
    <row r="320" spans="4:6" s="164" customFormat="1" ht="18.75">
      <c r="D320" s="165"/>
      <c r="F320" s="165"/>
    </row>
    <row r="321" spans="4:6" s="164" customFormat="1" ht="18.75">
      <c r="D321" s="165"/>
      <c r="F321" s="165"/>
    </row>
    <row r="322" spans="4:6" s="164" customFormat="1" ht="18.75">
      <c r="D322" s="165"/>
      <c r="F322" s="165"/>
    </row>
    <row r="323" spans="4:6" s="164" customFormat="1" ht="18.75">
      <c r="D323" s="165"/>
      <c r="F323" s="165"/>
    </row>
    <row r="324" spans="4:6" s="164" customFormat="1" ht="18.75">
      <c r="D324" s="165"/>
      <c r="F324" s="165"/>
    </row>
  </sheetData>
  <sheetProtection/>
  <mergeCells count="130">
    <mergeCell ref="B31:B35"/>
    <mergeCell ref="A5:G5"/>
    <mergeCell ref="B8:B9"/>
    <mergeCell ref="C8:D8"/>
    <mergeCell ref="E8:F8"/>
    <mergeCell ref="A14:A15"/>
    <mergeCell ref="B14:B15"/>
    <mergeCell ref="A12:A13"/>
    <mergeCell ref="B12:B13"/>
    <mergeCell ref="B18:B23"/>
    <mergeCell ref="A18:A23"/>
    <mergeCell ref="B25:B26"/>
    <mergeCell ref="A25:A26"/>
    <mergeCell ref="B36:B39"/>
    <mergeCell ref="C72:C73"/>
    <mergeCell ref="A67:A69"/>
    <mergeCell ref="B67:B69"/>
    <mergeCell ref="A59:A61"/>
    <mergeCell ref="B46:B47"/>
    <mergeCell ref="B53:B54"/>
    <mergeCell ref="A27:A30"/>
    <mergeCell ref="B27:B30"/>
    <mergeCell ref="B59:B61"/>
    <mergeCell ref="A46:A47"/>
    <mergeCell ref="A44:A45"/>
    <mergeCell ref="A31:A35"/>
    <mergeCell ref="A50:A51"/>
    <mergeCell ref="B50:B51"/>
    <mergeCell ref="A36:A39"/>
    <mergeCell ref="B40:B43"/>
    <mergeCell ref="B44:B45"/>
    <mergeCell ref="A40:A43"/>
    <mergeCell ref="A75:A76"/>
    <mergeCell ref="B75:B76"/>
    <mergeCell ref="B48:B49"/>
    <mergeCell ref="A48:A49"/>
    <mergeCell ref="A65:A66"/>
    <mergeCell ref="B65:B66"/>
    <mergeCell ref="A53:A54"/>
    <mergeCell ref="A137:A140"/>
    <mergeCell ref="B88:B90"/>
    <mergeCell ref="A85:A86"/>
    <mergeCell ref="A82:A84"/>
    <mergeCell ref="B82:B84"/>
    <mergeCell ref="B85:B87"/>
    <mergeCell ref="A103:A107"/>
    <mergeCell ref="B173:B175"/>
    <mergeCell ref="B91:B92"/>
    <mergeCell ref="A99:A100"/>
    <mergeCell ref="B99:B100"/>
    <mergeCell ref="A93:A94"/>
    <mergeCell ref="B93:B94"/>
    <mergeCell ref="B103:B107"/>
    <mergeCell ref="A91:A92"/>
    <mergeCell ref="A151:A153"/>
    <mergeCell ref="B127:B130"/>
    <mergeCell ref="A201:A202"/>
    <mergeCell ref="B201:B202"/>
    <mergeCell ref="A203:A204"/>
    <mergeCell ref="B203:B204"/>
    <mergeCell ref="A223:A224"/>
    <mergeCell ref="B223:B224"/>
    <mergeCell ref="B205:B206"/>
    <mergeCell ref="A205:A206"/>
    <mergeCell ref="C203:C204"/>
    <mergeCell ref="A218:A219"/>
    <mergeCell ref="B218:B219"/>
    <mergeCell ref="A210:A211"/>
    <mergeCell ref="B210:B211"/>
    <mergeCell ref="A317:B317"/>
    <mergeCell ref="A283:A289"/>
    <mergeCell ref="B283:B289"/>
    <mergeCell ref="A296:A302"/>
    <mergeCell ref="B296:B302"/>
    <mergeCell ref="A308:A314"/>
    <mergeCell ref="B308:B314"/>
    <mergeCell ref="G169:G170"/>
    <mergeCell ref="A304:A305"/>
    <mergeCell ref="B304:B305"/>
    <mergeCell ref="A256:A262"/>
    <mergeCell ref="B256:B262"/>
    <mergeCell ref="A269:A275"/>
    <mergeCell ref="B269:B275"/>
    <mergeCell ref="A277:A278"/>
    <mergeCell ref="A231:A237"/>
    <mergeCell ref="B231:B237"/>
    <mergeCell ref="B277:B278"/>
    <mergeCell ref="A166:A167"/>
    <mergeCell ref="B166:B167"/>
    <mergeCell ref="A244:A249"/>
    <mergeCell ref="B244:B249"/>
    <mergeCell ref="A240:A241"/>
    <mergeCell ref="B240:B241"/>
    <mergeCell ref="A173:A175"/>
    <mergeCell ref="A182:A185"/>
    <mergeCell ref="B182:B185"/>
    <mergeCell ref="A63:A64"/>
    <mergeCell ref="B63:B64"/>
    <mergeCell ref="A123:A126"/>
    <mergeCell ref="B123:B126"/>
    <mergeCell ref="A88:A90"/>
    <mergeCell ref="A108:A109"/>
    <mergeCell ref="B108:B109"/>
    <mergeCell ref="B121:B122"/>
    <mergeCell ref="A77:A81"/>
    <mergeCell ref="B77:B81"/>
    <mergeCell ref="F169:F170"/>
    <mergeCell ref="D169:D170"/>
    <mergeCell ref="B135:B136"/>
    <mergeCell ref="B131:B134"/>
    <mergeCell ref="E169:E170"/>
    <mergeCell ref="B148:B149"/>
    <mergeCell ref="C169:C170"/>
    <mergeCell ref="A169:A171"/>
    <mergeCell ref="B169:B171"/>
    <mergeCell ref="A162:A165"/>
    <mergeCell ref="B162:B165"/>
    <mergeCell ref="A159:A161"/>
    <mergeCell ref="B151:B153"/>
    <mergeCell ref="A148:A149"/>
    <mergeCell ref="A110:A111"/>
    <mergeCell ref="B159:B161"/>
    <mergeCell ref="A154:A156"/>
    <mergeCell ref="B154:B156"/>
    <mergeCell ref="A127:A130"/>
    <mergeCell ref="B110:B111"/>
    <mergeCell ref="B137:B140"/>
    <mergeCell ref="A135:A136"/>
    <mergeCell ref="A121:A122"/>
    <mergeCell ref="A131:A134"/>
  </mergeCells>
  <printOptions/>
  <pageMargins left="0.3937007874015748" right="0.2362204724409449" top="0.43" bottom="0.35433070866141736" header="0.1968503937007874" footer="0.1968503937007874"/>
  <pageSetup fitToHeight="20" fitToWidth="1" horizontalDpi="600" verticalDpi="600" orientation="landscape" paperSize="9" scale="6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0"/>
  <sheetViews>
    <sheetView view="pageBreakPreview" zoomScale="75" zoomScaleSheetLayoutView="75" zoomScalePageLayoutView="0" workbookViewId="0" topLeftCell="A1">
      <pane xSplit="3" ySplit="9" topLeftCell="D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73" sqref="H73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hidden="1" customWidth="1"/>
    <col min="4" max="4" width="12.57421875" style="1" hidden="1" customWidth="1"/>
    <col min="5" max="5" width="62.7109375" style="1" customWidth="1"/>
    <col min="6" max="6" width="13.421875" style="1" hidden="1" customWidth="1"/>
    <col min="7" max="7" width="15.28125" style="1" hidden="1" customWidth="1"/>
    <col min="8" max="8" width="16.28125" style="1" customWidth="1"/>
    <col min="9" max="9" width="14.421875" style="1" customWidth="1"/>
    <col min="10" max="10" width="11.00390625" style="1" bestFit="1" customWidth="1"/>
    <col min="11" max="11" width="12.140625" style="1" bestFit="1" customWidth="1"/>
    <col min="12" max="16384" width="9.140625" style="1" customWidth="1"/>
  </cols>
  <sheetData>
    <row r="1" spans="5:7" ht="52.5" customHeight="1">
      <c r="E1" s="14" t="s">
        <v>239</v>
      </c>
      <c r="G1" s="13"/>
    </row>
    <row r="2" spans="5:7" ht="28.5" customHeight="1">
      <c r="E2" s="14" t="s">
        <v>240</v>
      </c>
      <c r="G2" s="13"/>
    </row>
    <row r="3" spans="3:7" ht="39.75" customHeight="1">
      <c r="C3" s="8"/>
      <c r="E3" s="14" t="s">
        <v>359</v>
      </c>
      <c r="G3" s="13"/>
    </row>
    <row r="5" spans="1:10" s="6" customFormat="1" ht="28.5" customHeight="1">
      <c r="A5" s="214" t="s">
        <v>389</v>
      </c>
      <c r="B5" s="214"/>
      <c r="C5" s="214"/>
      <c r="D5" s="214"/>
      <c r="E5" s="214"/>
      <c r="F5" s="214"/>
      <c r="G5" s="214"/>
      <c r="H5" s="49"/>
      <c r="J5" s="50"/>
    </row>
    <row r="6" spans="1:4" ht="5.25" customHeight="1">
      <c r="A6" s="63"/>
      <c r="B6" s="63"/>
      <c r="C6" s="63"/>
      <c r="D6" s="63"/>
    </row>
    <row r="7" spans="1:8" ht="16.5" customHeight="1">
      <c r="A7" s="63"/>
      <c r="B7" s="63"/>
      <c r="C7" s="63"/>
      <c r="D7" s="63"/>
      <c r="E7" s="63"/>
      <c r="F7" s="63"/>
      <c r="G7" s="68" t="s">
        <v>100</v>
      </c>
      <c r="H7" s="63"/>
    </row>
    <row r="8" spans="1:8" s="2" customFormat="1" ht="45.75" customHeight="1">
      <c r="A8" s="64" t="s">
        <v>69</v>
      </c>
      <c r="B8" s="204" t="s">
        <v>71</v>
      </c>
      <c r="C8" s="204" t="s">
        <v>95</v>
      </c>
      <c r="D8" s="204"/>
      <c r="E8" s="204" t="s">
        <v>98</v>
      </c>
      <c r="F8" s="204"/>
      <c r="G8" s="4" t="s">
        <v>99</v>
      </c>
      <c r="H8" s="201" t="s">
        <v>8</v>
      </c>
    </row>
    <row r="9" spans="1:8" s="2" customFormat="1" ht="57.75" customHeight="1">
      <c r="A9" s="64" t="s">
        <v>70</v>
      </c>
      <c r="B9" s="204"/>
      <c r="C9" s="4" t="s">
        <v>96</v>
      </c>
      <c r="D9" s="4" t="s">
        <v>97</v>
      </c>
      <c r="E9" s="4" t="s">
        <v>96</v>
      </c>
      <c r="F9" s="4" t="s">
        <v>97</v>
      </c>
      <c r="G9" s="4" t="s">
        <v>97</v>
      </c>
      <c r="H9" s="202"/>
    </row>
    <row r="10" spans="1:8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/>
    </row>
    <row r="11" spans="1:9" s="2" customFormat="1" ht="31.5" hidden="1">
      <c r="A11" s="22" t="s">
        <v>175</v>
      </c>
      <c r="B11" s="23" t="s">
        <v>73</v>
      </c>
      <c r="C11" s="4"/>
      <c r="D11" s="24">
        <f>D13+D14+D23+D24+D26+D28+D29+D30</f>
        <v>4344270</v>
      </c>
      <c r="E11" s="4"/>
      <c r="F11" s="28">
        <f>F12+F15+F16+F20+F21+F23+F24+F26+F28+F29+F30+F14</f>
        <v>910383</v>
      </c>
      <c r="G11" s="28">
        <f>D11+F11</f>
        <v>5254653</v>
      </c>
      <c r="H11" s="71"/>
      <c r="I11" s="46"/>
    </row>
    <row r="12" spans="1:9" s="20" customFormat="1" ht="31.5" hidden="1">
      <c r="A12" s="203" t="s">
        <v>207</v>
      </c>
      <c r="B12" s="204" t="s">
        <v>208</v>
      </c>
      <c r="C12" s="4"/>
      <c r="D12" s="17"/>
      <c r="E12" s="4" t="s">
        <v>450</v>
      </c>
      <c r="F12" s="19">
        <v>253199</v>
      </c>
      <c r="G12" s="19">
        <f>D12+F12</f>
        <v>253199</v>
      </c>
      <c r="H12" s="4"/>
      <c r="I12" s="46"/>
    </row>
    <row r="13" spans="1:9" s="20" customFormat="1" ht="68.25" customHeight="1" hidden="1">
      <c r="A13" s="203"/>
      <c r="B13" s="204"/>
      <c r="C13" s="4" t="s">
        <v>419</v>
      </c>
      <c r="D13" s="17">
        <v>1315</v>
      </c>
      <c r="E13" s="4"/>
      <c r="F13" s="19"/>
      <c r="G13" s="19">
        <f aca="true" t="shared" si="0" ref="G13:G31">D13+F13</f>
        <v>1315</v>
      </c>
      <c r="H13" s="4"/>
      <c r="I13" s="46"/>
    </row>
    <row r="14" spans="1:9" s="20" customFormat="1" ht="51" customHeight="1" hidden="1">
      <c r="A14" s="203" t="s">
        <v>113</v>
      </c>
      <c r="B14" s="204" t="s">
        <v>139</v>
      </c>
      <c r="C14" s="4" t="s">
        <v>6</v>
      </c>
      <c r="D14" s="17">
        <v>480000</v>
      </c>
      <c r="E14" s="4"/>
      <c r="F14" s="9"/>
      <c r="G14" s="19">
        <f t="shared" si="0"/>
        <v>480000</v>
      </c>
      <c r="H14" s="4"/>
      <c r="I14" s="46"/>
    </row>
    <row r="15" spans="1:9" s="20" customFormat="1" ht="47.25" hidden="1">
      <c r="A15" s="203"/>
      <c r="B15" s="204"/>
      <c r="C15" s="4"/>
      <c r="D15" s="17"/>
      <c r="E15" s="35" t="s">
        <v>3</v>
      </c>
      <c r="F15" s="36">
        <v>41424</v>
      </c>
      <c r="G15" s="59">
        <f t="shared" si="0"/>
        <v>41424</v>
      </c>
      <c r="H15" s="4"/>
      <c r="I15" s="46"/>
    </row>
    <row r="16" spans="1:9" s="20" customFormat="1" ht="52.5" customHeight="1" hidden="1">
      <c r="A16" s="203" t="s">
        <v>119</v>
      </c>
      <c r="B16" s="204" t="s">
        <v>120</v>
      </c>
      <c r="C16" s="204"/>
      <c r="D16" s="17"/>
      <c r="E16" s="4" t="s">
        <v>443</v>
      </c>
      <c r="F16" s="19">
        <v>415760</v>
      </c>
      <c r="G16" s="19">
        <f t="shared" si="0"/>
        <v>415760</v>
      </c>
      <c r="H16" s="4"/>
      <c r="I16" s="46"/>
    </row>
    <row r="17" spans="1:9" s="20" customFormat="1" ht="44.25" customHeight="1" hidden="1">
      <c r="A17" s="203"/>
      <c r="B17" s="204"/>
      <c r="C17" s="204"/>
      <c r="D17" s="5"/>
      <c r="E17" s="4" t="s">
        <v>170</v>
      </c>
      <c r="F17" s="9"/>
      <c r="G17" s="19">
        <f t="shared" si="0"/>
        <v>0</v>
      </c>
      <c r="H17" s="4"/>
      <c r="I17" s="46"/>
    </row>
    <row r="18" spans="1:9" s="20" customFormat="1" ht="47.25" customHeight="1" hidden="1">
      <c r="A18" s="203"/>
      <c r="B18" s="204"/>
      <c r="C18" s="204"/>
      <c r="D18" s="5"/>
      <c r="E18" s="4" t="s">
        <v>169</v>
      </c>
      <c r="F18" s="19">
        <v>0</v>
      </c>
      <c r="G18" s="19">
        <f t="shared" si="0"/>
        <v>0</v>
      </c>
      <c r="H18" s="4"/>
      <c r="I18" s="46"/>
    </row>
    <row r="19" spans="1:9" s="20" customFormat="1" ht="15.75" hidden="1">
      <c r="A19" s="203"/>
      <c r="B19" s="204"/>
      <c r="C19" s="204"/>
      <c r="D19" s="5"/>
      <c r="E19" s="4"/>
      <c r="F19" s="19">
        <v>0</v>
      </c>
      <c r="G19" s="19">
        <f t="shared" si="0"/>
        <v>0</v>
      </c>
      <c r="H19" s="4"/>
      <c r="I19" s="46"/>
    </row>
    <row r="20" spans="1:9" s="20" customFormat="1" ht="222" customHeight="1" hidden="1">
      <c r="A20" s="18" t="s">
        <v>258</v>
      </c>
      <c r="B20" s="40" t="s">
        <v>259</v>
      </c>
      <c r="C20" s="4"/>
      <c r="D20" s="5"/>
      <c r="E20" s="4" t="s">
        <v>301</v>
      </c>
      <c r="F20" s="19"/>
      <c r="G20" s="19">
        <f t="shared" si="0"/>
        <v>0</v>
      </c>
      <c r="H20" s="4"/>
      <c r="I20" s="46"/>
    </row>
    <row r="21" spans="1:9" s="20" customFormat="1" ht="46.5" customHeight="1" hidden="1">
      <c r="A21" s="26">
        <v>240900</v>
      </c>
      <c r="B21" s="4" t="s">
        <v>140</v>
      </c>
      <c r="C21" s="16"/>
      <c r="D21" s="15"/>
      <c r="E21" s="4" t="s">
        <v>409</v>
      </c>
      <c r="F21" s="19">
        <v>200000</v>
      </c>
      <c r="G21" s="19">
        <f t="shared" si="0"/>
        <v>200000</v>
      </c>
      <c r="H21" s="4"/>
      <c r="I21" s="46"/>
    </row>
    <row r="22" spans="1:9" s="20" customFormat="1" ht="75" customHeight="1" hidden="1">
      <c r="A22" s="26">
        <v>250203</v>
      </c>
      <c r="B22" s="4" t="s">
        <v>234</v>
      </c>
      <c r="C22" s="4"/>
      <c r="D22" s="21">
        <v>0</v>
      </c>
      <c r="E22" s="4"/>
      <c r="F22" s="9"/>
      <c r="G22" s="19">
        <f t="shared" si="0"/>
        <v>0</v>
      </c>
      <c r="H22" s="4"/>
      <c r="I22" s="46"/>
    </row>
    <row r="23" spans="1:9" s="20" customFormat="1" ht="78.75" hidden="1">
      <c r="A23" s="210">
        <v>250404</v>
      </c>
      <c r="B23" s="204" t="s">
        <v>127</v>
      </c>
      <c r="C23" s="4" t="s">
        <v>413</v>
      </c>
      <c r="D23" s="21">
        <v>304955</v>
      </c>
      <c r="E23" s="9"/>
      <c r="F23" s="12"/>
      <c r="G23" s="19">
        <f t="shared" si="0"/>
        <v>304955</v>
      </c>
      <c r="H23" s="4"/>
      <c r="I23" s="46"/>
    </row>
    <row r="24" spans="1:9" s="20" customFormat="1" ht="47.25" hidden="1">
      <c r="A24" s="210"/>
      <c r="B24" s="204"/>
      <c r="C24" s="4" t="s">
        <v>412</v>
      </c>
      <c r="D24" s="17">
        <v>209200</v>
      </c>
      <c r="E24" s="4"/>
      <c r="F24" s="19">
        <v>0</v>
      </c>
      <c r="G24" s="19">
        <f t="shared" si="0"/>
        <v>209200</v>
      </c>
      <c r="H24" s="4"/>
      <c r="I24" s="46"/>
    </row>
    <row r="25" spans="1:9" s="20" customFormat="1" ht="32.25" customHeight="1" hidden="1">
      <c r="A25" s="210"/>
      <c r="B25" s="204"/>
      <c r="C25" s="4" t="s">
        <v>171</v>
      </c>
      <c r="D25" s="17">
        <v>120000</v>
      </c>
      <c r="E25" s="4" t="s">
        <v>171</v>
      </c>
      <c r="F25" s="19">
        <v>0</v>
      </c>
      <c r="G25" s="19">
        <f t="shared" si="0"/>
        <v>120000</v>
      </c>
      <c r="H25" s="4"/>
      <c r="I25" s="46"/>
    </row>
    <row r="26" spans="1:9" s="20" customFormat="1" ht="65.25" customHeight="1" hidden="1">
      <c r="A26" s="210"/>
      <c r="B26" s="204"/>
      <c r="C26" s="4" t="s">
        <v>407</v>
      </c>
      <c r="D26" s="17">
        <v>3348800</v>
      </c>
      <c r="E26" s="4"/>
      <c r="F26" s="19">
        <v>0</v>
      </c>
      <c r="G26" s="19">
        <f t="shared" si="0"/>
        <v>3348800</v>
      </c>
      <c r="H26" s="4"/>
      <c r="I26" s="46"/>
    </row>
    <row r="27" spans="1:9" s="20" customFormat="1" ht="38.25" customHeight="1" hidden="1">
      <c r="A27" s="210"/>
      <c r="B27" s="204"/>
      <c r="C27" s="4" t="s">
        <v>238</v>
      </c>
      <c r="D27" s="17">
        <v>0</v>
      </c>
      <c r="E27" s="4"/>
      <c r="F27" s="19"/>
      <c r="G27" s="19">
        <f t="shared" si="0"/>
        <v>0</v>
      </c>
      <c r="H27" s="4"/>
      <c r="I27" s="46"/>
    </row>
    <row r="28" spans="1:9" s="20" customFormat="1" ht="46.5" customHeight="1" hidden="1">
      <c r="A28" s="210"/>
      <c r="B28" s="204"/>
      <c r="C28" s="35" t="s">
        <v>311</v>
      </c>
      <c r="D28" s="38">
        <v>0</v>
      </c>
      <c r="E28" s="35"/>
      <c r="F28" s="36"/>
      <c r="G28" s="59">
        <f t="shared" si="0"/>
        <v>0</v>
      </c>
      <c r="H28" s="4"/>
      <c r="I28" s="46"/>
    </row>
    <row r="29" spans="1:9" s="20" customFormat="1" ht="62.25" customHeight="1" hidden="1">
      <c r="A29" s="210"/>
      <c r="B29" s="204"/>
      <c r="C29" s="4" t="s">
        <v>366</v>
      </c>
      <c r="D29" s="17"/>
      <c r="E29" s="35"/>
      <c r="F29" s="36"/>
      <c r="G29" s="19">
        <f t="shared" si="0"/>
        <v>0</v>
      </c>
      <c r="H29" s="4"/>
      <c r="I29" s="46"/>
    </row>
    <row r="30" spans="1:9" s="20" customFormat="1" ht="63" hidden="1">
      <c r="A30" s="210"/>
      <c r="B30" s="204"/>
      <c r="C30" s="4" t="s">
        <v>301</v>
      </c>
      <c r="D30" s="17"/>
      <c r="E30" s="4"/>
      <c r="F30" s="19"/>
      <c r="G30" s="19">
        <f t="shared" si="0"/>
        <v>0</v>
      </c>
      <c r="H30" s="4"/>
      <c r="I30" s="46"/>
    </row>
    <row r="31" spans="1:9" s="20" customFormat="1" ht="47.25">
      <c r="A31" s="22" t="s">
        <v>183</v>
      </c>
      <c r="B31" s="23" t="s">
        <v>84</v>
      </c>
      <c r="C31" s="4"/>
      <c r="D31" s="24">
        <f>D33+D34+D35+D36+D37+D40+D41+D42+D44++D46+D49+D50+D51+D54+D56+D57+D58+D59+D60+D61+D62+D63+D64+D65+D66+D71+D72+D53+D55+D52+D43</f>
        <v>51174841</v>
      </c>
      <c r="E31" s="5"/>
      <c r="F31" s="24">
        <f>F34+F35+F37+F41+F45+F46+F49+F62+F54+F66+F67+F68+F69+F70+F71+F33+F43+F61+F52+F40</f>
        <v>20937895</v>
      </c>
      <c r="G31" s="24">
        <f t="shared" si="0"/>
        <v>72112736</v>
      </c>
      <c r="H31" s="71"/>
      <c r="I31" s="46"/>
    </row>
    <row r="32" spans="1:9" s="20" customFormat="1" ht="44.25" customHeight="1" hidden="1">
      <c r="A32" s="18" t="s">
        <v>207</v>
      </c>
      <c r="B32" s="4" t="s">
        <v>208</v>
      </c>
      <c r="C32" s="4" t="s">
        <v>232</v>
      </c>
      <c r="D32" s="17"/>
      <c r="E32" s="4"/>
      <c r="F32" s="19"/>
      <c r="G32" s="9">
        <v>0</v>
      </c>
      <c r="H32" s="4"/>
      <c r="I32" s="46"/>
    </row>
    <row r="33" spans="1:9" s="20" customFormat="1" ht="66" customHeight="1" hidden="1">
      <c r="A33" s="18" t="s">
        <v>207</v>
      </c>
      <c r="B33" s="4" t="s">
        <v>208</v>
      </c>
      <c r="C33" s="4" t="s">
        <v>419</v>
      </c>
      <c r="D33" s="17">
        <v>885</v>
      </c>
      <c r="E33" s="4" t="s">
        <v>450</v>
      </c>
      <c r="F33" s="19">
        <v>14000</v>
      </c>
      <c r="G33" s="19">
        <f>D33+F33</f>
        <v>14885</v>
      </c>
      <c r="H33" s="4"/>
      <c r="I33" s="46"/>
    </row>
    <row r="34" spans="1:9" s="20" customFormat="1" ht="33" customHeight="1">
      <c r="A34" s="203" t="s">
        <v>102</v>
      </c>
      <c r="B34" s="204" t="s">
        <v>142</v>
      </c>
      <c r="C34" s="4" t="s">
        <v>482</v>
      </c>
      <c r="D34" s="17">
        <v>4567066</v>
      </c>
      <c r="E34" s="4" t="s">
        <v>463</v>
      </c>
      <c r="F34" s="19">
        <f>3158108-F35</f>
        <v>2760193</v>
      </c>
      <c r="G34" s="19">
        <f>D34+F34</f>
        <v>7327259</v>
      </c>
      <c r="H34" s="71" t="s">
        <v>9</v>
      </c>
      <c r="I34" s="46"/>
    </row>
    <row r="35" spans="1:9" s="20" customFormat="1" ht="47.25" hidden="1">
      <c r="A35" s="203"/>
      <c r="B35" s="204"/>
      <c r="C35" s="35" t="s">
        <v>3</v>
      </c>
      <c r="D35" s="38">
        <v>24450</v>
      </c>
      <c r="E35" s="35" t="s">
        <v>3</v>
      </c>
      <c r="F35" s="36">
        <v>397915</v>
      </c>
      <c r="G35" s="19">
        <f>D35+F35</f>
        <v>422365</v>
      </c>
      <c r="H35" s="4"/>
      <c r="I35" s="46"/>
    </row>
    <row r="36" spans="1:9" s="20" customFormat="1" ht="71.25" customHeight="1" hidden="1">
      <c r="A36" s="203"/>
      <c r="B36" s="204"/>
      <c r="C36" s="4" t="s">
        <v>419</v>
      </c>
      <c r="D36" s="17">
        <v>209486</v>
      </c>
      <c r="E36" s="35"/>
      <c r="F36" s="36"/>
      <c r="G36" s="19">
        <f>D36+F36</f>
        <v>209486</v>
      </c>
      <c r="H36" s="4"/>
      <c r="I36" s="46"/>
    </row>
    <row r="37" spans="1:9" s="20" customFormat="1" ht="35.25" customHeight="1">
      <c r="A37" s="203" t="s">
        <v>103</v>
      </c>
      <c r="B37" s="203" t="s">
        <v>143</v>
      </c>
      <c r="C37" s="4" t="s">
        <v>482</v>
      </c>
      <c r="D37" s="17">
        <v>6523141</v>
      </c>
      <c r="E37" s="4" t="s">
        <v>463</v>
      </c>
      <c r="F37" s="19">
        <f>5369916-F41</f>
        <v>3882915</v>
      </c>
      <c r="G37" s="19">
        <f>D37+F37</f>
        <v>10406056</v>
      </c>
      <c r="H37" s="71">
        <v>127071</v>
      </c>
      <c r="I37" s="46"/>
    </row>
    <row r="38" spans="1:9" s="20" customFormat="1" ht="32.25" customHeight="1" hidden="1">
      <c r="A38" s="203"/>
      <c r="B38" s="203"/>
      <c r="C38" s="4" t="s">
        <v>274</v>
      </c>
      <c r="D38" s="17"/>
      <c r="E38" s="4" t="s">
        <v>274</v>
      </c>
      <c r="F38" s="19"/>
      <c r="G38" s="19">
        <f aca="true" t="shared" si="1" ref="G38:G48">D38+F38</f>
        <v>0</v>
      </c>
      <c r="H38" s="4"/>
      <c r="I38" s="46"/>
    </row>
    <row r="39" spans="1:9" s="20" customFormat="1" ht="66" customHeight="1" hidden="1">
      <c r="A39" s="203"/>
      <c r="B39" s="203"/>
      <c r="C39" s="4" t="s">
        <v>274</v>
      </c>
      <c r="D39" s="17"/>
      <c r="E39" s="4" t="s">
        <v>274</v>
      </c>
      <c r="F39" s="19"/>
      <c r="G39" s="19">
        <f t="shared" si="1"/>
        <v>0</v>
      </c>
      <c r="H39" s="4"/>
      <c r="I39" s="46"/>
    </row>
    <row r="40" spans="1:9" s="20" customFormat="1" ht="35.25" customHeight="1">
      <c r="A40" s="203"/>
      <c r="B40" s="203"/>
      <c r="C40" s="4" t="s">
        <v>483</v>
      </c>
      <c r="D40" s="17">
        <v>522962</v>
      </c>
      <c r="E40" s="4" t="s">
        <v>483</v>
      </c>
      <c r="F40" s="19">
        <v>127071</v>
      </c>
      <c r="G40" s="19">
        <f t="shared" si="1"/>
        <v>650033</v>
      </c>
      <c r="H40" s="4" t="s">
        <v>9</v>
      </c>
      <c r="I40" s="46"/>
    </row>
    <row r="41" spans="1:9" s="20" customFormat="1" ht="47.25" hidden="1">
      <c r="A41" s="203"/>
      <c r="B41" s="203"/>
      <c r="C41" s="35" t="s">
        <v>3</v>
      </c>
      <c r="D41" s="38">
        <v>99122</v>
      </c>
      <c r="E41" s="35" t="s">
        <v>3</v>
      </c>
      <c r="F41" s="36">
        <v>1487001</v>
      </c>
      <c r="G41" s="19">
        <f>D41+F41</f>
        <v>1586123</v>
      </c>
      <c r="H41" s="4"/>
      <c r="I41" s="46"/>
    </row>
    <row r="42" spans="1:9" s="20" customFormat="1" ht="66" customHeight="1" hidden="1">
      <c r="A42" s="203"/>
      <c r="B42" s="203"/>
      <c r="C42" s="4" t="s">
        <v>419</v>
      </c>
      <c r="D42" s="17">
        <v>322041</v>
      </c>
      <c r="E42" s="35"/>
      <c r="F42" s="36"/>
      <c r="G42" s="19">
        <f t="shared" si="1"/>
        <v>322041</v>
      </c>
      <c r="H42" s="4"/>
      <c r="I42" s="46"/>
    </row>
    <row r="43" spans="1:9" s="20" customFormat="1" ht="35.25" customHeight="1">
      <c r="A43" s="203" t="s">
        <v>104</v>
      </c>
      <c r="B43" s="204" t="s">
        <v>144</v>
      </c>
      <c r="C43" s="4" t="s">
        <v>482</v>
      </c>
      <c r="D43" s="17">
        <v>1636</v>
      </c>
      <c r="E43" s="4" t="s">
        <v>463</v>
      </c>
      <c r="F43" s="19">
        <f>14800-F45</f>
        <v>0</v>
      </c>
      <c r="G43" s="19">
        <f t="shared" si="1"/>
        <v>1636</v>
      </c>
      <c r="H43" s="4"/>
      <c r="I43" s="46"/>
    </row>
    <row r="44" spans="1:9" s="20" customFormat="1" ht="70.5" customHeight="1" hidden="1">
      <c r="A44" s="203"/>
      <c r="B44" s="204"/>
      <c r="C44" s="4" t="s">
        <v>419</v>
      </c>
      <c r="D44" s="17">
        <v>5234</v>
      </c>
      <c r="E44" s="4"/>
      <c r="F44" s="19"/>
      <c r="G44" s="19">
        <f t="shared" si="1"/>
        <v>5234</v>
      </c>
      <c r="H44" s="4"/>
      <c r="I44" s="46"/>
    </row>
    <row r="45" spans="1:9" s="20" customFormat="1" ht="47.25" hidden="1">
      <c r="A45" s="203"/>
      <c r="B45" s="204"/>
      <c r="C45" s="4"/>
      <c r="D45" s="17"/>
      <c r="E45" s="35" t="s">
        <v>3</v>
      </c>
      <c r="F45" s="36">
        <v>14800</v>
      </c>
      <c r="G45" s="19">
        <f t="shared" si="1"/>
        <v>14800</v>
      </c>
      <c r="H45" s="71"/>
      <c r="I45" s="46"/>
    </row>
    <row r="46" spans="1:9" s="20" customFormat="1" ht="39" customHeight="1">
      <c r="A46" s="203" t="s">
        <v>61</v>
      </c>
      <c r="B46" s="204" t="s">
        <v>62</v>
      </c>
      <c r="C46" s="4" t="s">
        <v>484</v>
      </c>
      <c r="D46" s="17">
        <v>29827597</v>
      </c>
      <c r="E46" s="4" t="s">
        <v>464</v>
      </c>
      <c r="F46" s="19">
        <f>151878+393294-F49</f>
        <v>511523</v>
      </c>
      <c r="G46" s="19">
        <f t="shared" si="1"/>
        <v>30339120</v>
      </c>
      <c r="H46" s="4">
        <v>393294</v>
      </c>
      <c r="I46" s="46"/>
    </row>
    <row r="47" spans="1:9" s="20" customFormat="1" ht="46.5" customHeight="1" hidden="1">
      <c r="A47" s="203"/>
      <c r="B47" s="204"/>
      <c r="C47" s="4" t="s">
        <v>357</v>
      </c>
      <c r="D47" s="17">
        <v>0</v>
      </c>
      <c r="E47" s="4" t="s">
        <v>357</v>
      </c>
      <c r="F47" s="19">
        <v>0</v>
      </c>
      <c r="G47" s="19">
        <f t="shared" si="1"/>
        <v>0</v>
      </c>
      <c r="H47" s="4"/>
      <c r="I47" s="46"/>
    </row>
    <row r="48" spans="1:9" s="20" customFormat="1" ht="51.75" customHeight="1" hidden="1">
      <c r="A48" s="203"/>
      <c r="B48" s="204"/>
      <c r="C48" s="4"/>
      <c r="D48" s="21">
        <v>0</v>
      </c>
      <c r="E48" s="26"/>
      <c r="F48" s="16"/>
      <c r="G48" s="19">
        <f t="shared" si="1"/>
        <v>0</v>
      </c>
      <c r="H48" s="4"/>
      <c r="I48" s="46"/>
    </row>
    <row r="49" spans="1:9" s="20" customFormat="1" ht="47.25" hidden="1">
      <c r="A49" s="203"/>
      <c r="B49" s="204"/>
      <c r="C49" s="35" t="s">
        <v>3</v>
      </c>
      <c r="D49" s="36">
        <v>5000</v>
      </c>
      <c r="E49" s="35" t="s">
        <v>3</v>
      </c>
      <c r="F49" s="36">
        <v>33649</v>
      </c>
      <c r="G49" s="19">
        <f>D49+F49</f>
        <v>38649</v>
      </c>
      <c r="H49" s="4"/>
      <c r="I49" s="46"/>
    </row>
    <row r="50" spans="1:9" s="20" customFormat="1" ht="66.75" customHeight="1" hidden="1">
      <c r="A50" s="203"/>
      <c r="B50" s="204"/>
      <c r="C50" s="4" t="s">
        <v>419</v>
      </c>
      <c r="D50" s="19">
        <v>38395</v>
      </c>
      <c r="E50" s="35"/>
      <c r="F50" s="36"/>
      <c r="G50" s="19">
        <f aca="true" t="shared" si="2" ref="G50:G70">D50+F50</f>
        <v>38395</v>
      </c>
      <c r="H50" s="4"/>
      <c r="I50" s="46"/>
    </row>
    <row r="51" spans="1:9" s="20" customFormat="1" ht="63.75" customHeight="1" hidden="1">
      <c r="A51" s="18" t="s">
        <v>328</v>
      </c>
      <c r="B51" s="4" t="s">
        <v>327</v>
      </c>
      <c r="C51" s="4" t="s">
        <v>419</v>
      </c>
      <c r="D51" s="19">
        <v>2108</v>
      </c>
      <c r="E51" s="35"/>
      <c r="F51" s="36"/>
      <c r="G51" s="19">
        <f t="shared" si="2"/>
        <v>2108</v>
      </c>
      <c r="H51" s="4"/>
      <c r="I51" s="46"/>
    </row>
    <row r="52" spans="1:9" s="20" customFormat="1" ht="48" customHeight="1">
      <c r="A52" s="205" t="s">
        <v>421</v>
      </c>
      <c r="B52" s="201" t="s">
        <v>453</v>
      </c>
      <c r="C52" s="4" t="s">
        <v>482</v>
      </c>
      <c r="D52" s="19">
        <v>30000</v>
      </c>
      <c r="E52" s="4" t="s">
        <v>463</v>
      </c>
      <c r="F52" s="19">
        <v>400000</v>
      </c>
      <c r="G52" s="19">
        <f>D52+F52</f>
        <v>430000</v>
      </c>
      <c r="H52" s="4" t="s">
        <v>9</v>
      </c>
      <c r="I52" s="46"/>
    </row>
    <row r="53" spans="1:9" s="20" customFormat="1" ht="63.75" customHeight="1" hidden="1">
      <c r="A53" s="206"/>
      <c r="B53" s="202"/>
      <c r="C53" s="4" t="s">
        <v>419</v>
      </c>
      <c r="D53" s="19">
        <v>1684</v>
      </c>
      <c r="E53" s="4"/>
      <c r="F53" s="19"/>
      <c r="G53" s="19">
        <f>D53+F53</f>
        <v>1684</v>
      </c>
      <c r="H53" s="4"/>
      <c r="I53" s="46"/>
    </row>
    <row r="54" spans="1:9" s="51" customFormat="1" ht="37.5" customHeight="1">
      <c r="A54" s="205" t="s">
        <v>335</v>
      </c>
      <c r="B54" s="201" t="s">
        <v>336</v>
      </c>
      <c r="C54" s="4" t="s">
        <v>482</v>
      </c>
      <c r="D54" s="19">
        <v>60000</v>
      </c>
      <c r="E54" s="4" t="s">
        <v>463</v>
      </c>
      <c r="F54" s="19">
        <v>94430</v>
      </c>
      <c r="G54" s="19">
        <f t="shared" si="2"/>
        <v>154430</v>
      </c>
      <c r="H54" s="71" t="s">
        <v>9</v>
      </c>
      <c r="I54" s="52"/>
    </row>
    <row r="55" spans="1:9" s="51" customFormat="1" ht="46.5" customHeight="1" hidden="1">
      <c r="A55" s="206"/>
      <c r="B55" s="202"/>
      <c r="C55" s="4" t="s">
        <v>419</v>
      </c>
      <c r="D55" s="19">
        <v>10998</v>
      </c>
      <c r="E55" s="4"/>
      <c r="F55" s="19"/>
      <c r="G55" s="19">
        <f>D55</f>
        <v>10998</v>
      </c>
      <c r="H55" s="71"/>
      <c r="I55" s="52"/>
    </row>
    <row r="56" spans="1:9" s="20" customFormat="1" ht="60.75" customHeight="1" hidden="1">
      <c r="A56" s="18" t="s">
        <v>329</v>
      </c>
      <c r="B56" s="4" t="s">
        <v>330</v>
      </c>
      <c r="C56" s="4" t="s">
        <v>419</v>
      </c>
      <c r="D56" s="19">
        <v>8769</v>
      </c>
      <c r="E56" s="35"/>
      <c r="F56" s="36"/>
      <c r="G56" s="19">
        <f t="shared" si="2"/>
        <v>8769</v>
      </c>
      <c r="H56" s="4"/>
      <c r="I56" s="46"/>
    </row>
    <row r="57" spans="1:9" s="20" customFormat="1" ht="47.25" hidden="1">
      <c r="A57" s="25" t="s">
        <v>116</v>
      </c>
      <c r="B57" s="4" t="s">
        <v>63</v>
      </c>
      <c r="C57" s="4" t="s">
        <v>487</v>
      </c>
      <c r="D57" s="21">
        <v>463467</v>
      </c>
      <c r="E57" s="4"/>
      <c r="F57" s="16"/>
      <c r="G57" s="19">
        <f t="shared" si="2"/>
        <v>463467</v>
      </c>
      <c r="H57" s="4"/>
      <c r="I57" s="46"/>
    </row>
    <row r="58" spans="1:9" s="20" customFormat="1" ht="95.25" customHeight="1" hidden="1">
      <c r="A58" s="18" t="s">
        <v>105</v>
      </c>
      <c r="B58" s="4" t="s">
        <v>138</v>
      </c>
      <c r="C58" s="4" t="s">
        <v>485</v>
      </c>
      <c r="D58" s="17">
        <v>4377290</v>
      </c>
      <c r="E58" s="4"/>
      <c r="F58" s="9"/>
      <c r="G58" s="19">
        <f t="shared" si="2"/>
        <v>4377290</v>
      </c>
      <c r="H58" s="4"/>
      <c r="I58" s="46"/>
    </row>
    <row r="59" spans="1:9" s="20" customFormat="1" ht="35.25" customHeight="1" hidden="1">
      <c r="A59" s="18" t="s">
        <v>199</v>
      </c>
      <c r="B59" s="4" t="s">
        <v>200</v>
      </c>
      <c r="C59" s="4" t="s">
        <v>486</v>
      </c>
      <c r="D59" s="17">
        <v>199559</v>
      </c>
      <c r="E59" s="4"/>
      <c r="F59" s="9"/>
      <c r="G59" s="19">
        <f t="shared" si="2"/>
        <v>199559</v>
      </c>
      <c r="H59" s="4"/>
      <c r="I59" s="46"/>
    </row>
    <row r="60" spans="1:9" s="20" customFormat="1" ht="47.25" hidden="1">
      <c r="A60" s="18" t="s">
        <v>285</v>
      </c>
      <c r="B60" s="4" t="s">
        <v>286</v>
      </c>
      <c r="C60" s="4" t="s">
        <v>486</v>
      </c>
      <c r="D60" s="17">
        <v>99067</v>
      </c>
      <c r="E60" s="4"/>
      <c r="F60" s="19"/>
      <c r="G60" s="19">
        <f t="shared" si="2"/>
        <v>99067</v>
      </c>
      <c r="H60" s="4"/>
      <c r="I60" s="46"/>
    </row>
    <row r="61" spans="1:9" s="20" customFormat="1" ht="31.5" customHeight="1">
      <c r="A61" s="203" t="s">
        <v>145</v>
      </c>
      <c r="B61" s="204" t="s">
        <v>233</v>
      </c>
      <c r="C61" s="4" t="s">
        <v>486</v>
      </c>
      <c r="D61" s="17">
        <v>447580</v>
      </c>
      <c r="E61" s="4" t="s">
        <v>465</v>
      </c>
      <c r="F61" s="19">
        <f>39500-F62</f>
        <v>0</v>
      </c>
      <c r="G61" s="19">
        <f t="shared" si="2"/>
        <v>447580</v>
      </c>
      <c r="H61" s="4" t="s">
        <v>9</v>
      </c>
      <c r="I61" s="46"/>
    </row>
    <row r="62" spans="1:9" s="20" customFormat="1" ht="47.25" hidden="1">
      <c r="A62" s="203"/>
      <c r="B62" s="204"/>
      <c r="C62" s="35" t="s">
        <v>3</v>
      </c>
      <c r="D62" s="36">
        <v>1000</v>
      </c>
      <c r="E62" s="35" t="s">
        <v>3</v>
      </c>
      <c r="F62" s="36">
        <v>39500</v>
      </c>
      <c r="G62" s="19">
        <f t="shared" si="2"/>
        <v>40500</v>
      </c>
      <c r="H62" s="71"/>
      <c r="I62" s="46"/>
    </row>
    <row r="63" spans="1:9" s="20" customFormat="1" ht="65.25" customHeight="1" hidden="1">
      <c r="A63" s="203"/>
      <c r="B63" s="204"/>
      <c r="C63" s="4" t="s">
        <v>419</v>
      </c>
      <c r="D63" s="19">
        <v>23788</v>
      </c>
      <c r="E63" s="35"/>
      <c r="F63" s="36"/>
      <c r="G63" s="19">
        <f t="shared" si="2"/>
        <v>23788</v>
      </c>
      <c r="H63" s="4"/>
      <c r="I63" s="46"/>
    </row>
    <row r="64" spans="1:9" s="20" customFormat="1" ht="47.25" hidden="1">
      <c r="A64" s="18" t="s">
        <v>197</v>
      </c>
      <c r="B64" s="4" t="s">
        <v>198</v>
      </c>
      <c r="C64" s="4" t="s">
        <v>488</v>
      </c>
      <c r="D64" s="17">
        <v>733099</v>
      </c>
      <c r="E64" s="4"/>
      <c r="F64" s="19"/>
      <c r="G64" s="19">
        <f t="shared" si="2"/>
        <v>733099</v>
      </c>
      <c r="H64" s="4"/>
      <c r="I64" s="46"/>
    </row>
    <row r="65" spans="1:9" s="20" customFormat="1" ht="63" hidden="1">
      <c r="A65" s="210">
        <v>130112</v>
      </c>
      <c r="B65" s="204" t="s">
        <v>127</v>
      </c>
      <c r="C65" s="4" t="s">
        <v>419</v>
      </c>
      <c r="D65" s="17">
        <v>1046</v>
      </c>
      <c r="E65" s="4"/>
      <c r="F65" s="19"/>
      <c r="G65" s="19">
        <f t="shared" si="2"/>
        <v>1046</v>
      </c>
      <c r="H65" s="4"/>
      <c r="I65" s="46"/>
    </row>
    <row r="66" spans="1:9" s="20" customFormat="1" ht="37.5" customHeight="1">
      <c r="A66" s="210"/>
      <c r="B66" s="204"/>
      <c r="C66" s="4" t="s">
        <v>489</v>
      </c>
      <c r="D66" s="21">
        <v>453294</v>
      </c>
      <c r="E66" s="4" t="s">
        <v>489</v>
      </c>
      <c r="F66" s="12">
        <v>42880</v>
      </c>
      <c r="G66" s="19">
        <f t="shared" si="2"/>
        <v>496174</v>
      </c>
      <c r="H66" s="71">
        <v>42880</v>
      </c>
      <c r="I66" s="46"/>
    </row>
    <row r="67" spans="1:9" s="20" customFormat="1" ht="31.5" hidden="1">
      <c r="A67" s="203" t="s">
        <v>119</v>
      </c>
      <c r="B67" s="204" t="s">
        <v>120</v>
      </c>
      <c r="C67" s="4"/>
      <c r="D67" s="5"/>
      <c r="E67" s="4" t="s">
        <v>466</v>
      </c>
      <c r="F67" s="12">
        <v>8667311</v>
      </c>
      <c r="G67" s="19">
        <f t="shared" si="2"/>
        <v>8667311</v>
      </c>
      <c r="H67" s="71"/>
      <c r="I67" s="46"/>
    </row>
    <row r="68" spans="1:9" s="20" customFormat="1" ht="31.5" hidden="1">
      <c r="A68" s="203"/>
      <c r="B68" s="204"/>
      <c r="C68" s="4"/>
      <c r="D68" s="5"/>
      <c r="E68" s="4" t="s">
        <v>467</v>
      </c>
      <c r="F68" s="12">
        <v>1248451</v>
      </c>
      <c r="G68" s="19">
        <f t="shared" si="2"/>
        <v>1248451</v>
      </c>
      <c r="H68" s="4"/>
      <c r="I68" s="46"/>
    </row>
    <row r="69" spans="1:9" s="20" customFormat="1" ht="31.5" hidden="1">
      <c r="A69" s="203"/>
      <c r="B69" s="204"/>
      <c r="C69" s="4"/>
      <c r="D69" s="5"/>
      <c r="E69" s="4" t="s">
        <v>468</v>
      </c>
      <c r="F69" s="12">
        <v>1065845</v>
      </c>
      <c r="G69" s="19">
        <f t="shared" si="2"/>
        <v>1065845</v>
      </c>
      <c r="H69" s="4"/>
      <c r="I69" s="46"/>
    </row>
    <row r="70" spans="1:9" s="20" customFormat="1" ht="31.5" hidden="1">
      <c r="A70" s="4">
        <v>240601</v>
      </c>
      <c r="B70" s="4" t="s">
        <v>141</v>
      </c>
      <c r="C70" s="4"/>
      <c r="D70" s="5"/>
      <c r="E70" s="4" t="s">
        <v>402</v>
      </c>
      <c r="F70" s="17">
        <v>119053</v>
      </c>
      <c r="G70" s="19">
        <f t="shared" si="2"/>
        <v>119053</v>
      </c>
      <c r="H70" s="71"/>
      <c r="I70" s="46"/>
    </row>
    <row r="71" spans="1:9" s="20" customFormat="1" ht="77.25" customHeight="1" hidden="1">
      <c r="A71" s="25" t="s">
        <v>59</v>
      </c>
      <c r="B71" s="4" t="s">
        <v>60</v>
      </c>
      <c r="C71" s="201" t="s">
        <v>462</v>
      </c>
      <c r="D71" s="15">
        <v>2065077</v>
      </c>
      <c r="E71" s="4" t="s">
        <v>462</v>
      </c>
      <c r="F71" s="16">
        <v>31358</v>
      </c>
      <c r="G71" s="19">
        <f>D71+F71</f>
        <v>2096435</v>
      </c>
      <c r="H71" s="4"/>
      <c r="I71" s="46"/>
    </row>
    <row r="72" spans="1:9" s="20" customFormat="1" ht="94.5" hidden="1">
      <c r="A72" s="25" t="s">
        <v>354</v>
      </c>
      <c r="B72" s="4" t="s">
        <v>355</v>
      </c>
      <c r="C72" s="202"/>
      <c r="D72" s="15">
        <v>50000</v>
      </c>
      <c r="E72" s="4"/>
      <c r="F72" s="16"/>
      <c r="G72" s="19">
        <f>D72+F72</f>
        <v>50000</v>
      </c>
      <c r="H72" s="4"/>
      <c r="I72" s="46"/>
    </row>
    <row r="73" spans="1:9" s="20" customFormat="1" ht="46.5" customHeight="1">
      <c r="A73" s="22" t="s">
        <v>184</v>
      </c>
      <c r="B73" s="23" t="s">
        <v>85</v>
      </c>
      <c r="C73" s="4"/>
      <c r="D73" s="24">
        <f>D75+D76+D77+D78+D79+D80+D81+D82+D83+D84+D86+D85+D88+D89+D91+D93+D74+D90</f>
        <v>12844390</v>
      </c>
      <c r="E73" s="5"/>
      <c r="F73" s="24">
        <f>F75+F76+F78+F80+F81+F83+F84+F86+F87+F89+F94+F74+F92</f>
        <v>23146713</v>
      </c>
      <c r="G73" s="28">
        <f>D73+F73</f>
        <v>35991103</v>
      </c>
      <c r="H73" s="71"/>
      <c r="I73" s="46"/>
    </row>
    <row r="74" spans="1:9" s="20" customFormat="1" ht="49.5" customHeight="1" hidden="1">
      <c r="A74" s="18" t="s">
        <v>207</v>
      </c>
      <c r="B74" s="4" t="s">
        <v>208</v>
      </c>
      <c r="C74" s="4" t="s">
        <v>420</v>
      </c>
      <c r="D74" s="17">
        <v>2829</v>
      </c>
      <c r="E74" s="4" t="s">
        <v>450</v>
      </c>
      <c r="F74" s="19">
        <v>7000</v>
      </c>
      <c r="G74" s="19">
        <f>D74+F74</f>
        <v>9829</v>
      </c>
      <c r="H74" s="4"/>
      <c r="I74" s="46"/>
    </row>
    <row r="75" spans="1:9" s="20" customFormat="1" ht="52.5" customHeight="1">
      <c r="A75" s="203" t="s">
        <v>107</v>
      </c>
      <c r="B75" s="204" t="s">
        <v>54</v>
      </c>
      <c r="C75" s="4" t="s">
        <v>344</v>
      </c>
      <c r="D75" s="17">
        <v>0</v>
      </c>
      <c r="E75" s="4" t="s">
        <v>344</v>
      </c>
      <c r="F75" s="19">
        <v>4059683</v>
      </c>
      <c r="G75" s="19">
        <f>D75+F75</f>
        <v>4059683</v>
      </c>
      <c r="H75" s="71">
        <v>299733</v>
      </c>
      <c r="I75" s="46"/>
    </row>
    <row r="76" spans="1:9" s="20" customFormat="1" ht="51.75" customHeight="1" hidden="1">
      <c r="A76" s="203"/>
      <c r="B76" s="204"/>
      <c r="C76" s="4"/>
      <c r="D76" s="17">
        <v>0</v>
      </c>
      <c r="E76" s="4"/>
      <c r="F76" s="19">
        <v>0</v>
      </c>
      <c r="G76" s="19">
        <f aca="true" t="shared" si="3" ref="G76:G94">D76+F76</f>
        <v>0</v>
      </c>
      <c r="H76" s="4"/>
      <c r="I76" s="46"/>
    </row>
    <row r="77" spans="1:9" s="20" customFormat="1" ht="54.75" customHeight="1" hidden="1">
      <c r="A77" s="203"/>
      <c r="B77" s="204"/>
      <c r="C77" s="4" t="s">
        <v>345</v>
      </c>
      <c r="D77" s="17">
        <v>406050</v>
      </c>
      <c r="E77" s="4"/>
      <c r="F77" s="19"/>
      <c r="G77" s="19">
        <f t="shared" si="3"/>
        <v>406050</v>
      </c>
      <c r="H77" s="4"/>
      <c r="I77" s="46"/>
    </row>
    <row r="78" spans="1:9" s="20" customFormat="1" ht="47.25" hidden="1">
      <c r="A78" s="203"/>
      <c r="B78" s="204"/>
      <c r="C78" s="35" t="s">
        <v>3</v>
      </c>
      <c r="D78" s="38">
        <v>38750</v>
      </c>
      <c r="E78" s="35" t="s">
        <v>3</v>
      </c>
      <c r="F78" s="36">
        <v>473495</v>
      </c>
      <c r="G78" s="19">
        <f t="shared" si="3"/>
        <v>512245</v>
      </c>
      <c r="H78" s="4"/>
      <c r="I78" s="46"/>
    </row>
    <row r="79" spans="1:9" s="20" customFormat="1" ht="63" hidden="1">
      <c r="A79" s="203"/>
      <c r="B79" s="204"/>
      <c r="C79" s="4" t="s">
        <v>420</v>
      </c>
      <c r="D79" s="17">
        <v>9003</v>
      </c>
      <c r="E79" s="35"/>
      <c r="F79" s="36"/>
      <c r="G79" s="19">
        <f t="shared" si="3"/>
        <v>9003</v>
      </c>
      <c r="H79" s="4"/>
      <c r="I79" s="46"/>
    </row>
    <row r="80" spans="1:9" s="20" customFormat="1" ht="50.25" customHeight="1">
      <c r="A80" s="203" t="s">
        <v>146</v>
      </c>
      <c r="B80" s="204" t="s">
        <v>276</v>
      </c>
      <c r="C80" s="4" t="s">
        <v>344</v>
      </c>
      <c r="D80" s="17">
        <v>0</v>
      </c>
      <c r="E80" s="4" t="s">
        <v>344</v>
      </c>
      <c r="F80" s="19">
        <v>699466</v>
      </c>
      <c r="G80" s="19">
        <f t="shared" si="3"/>
        <v>699466</v>
      </c>
      <c r="H80" s="71" t="s">
        <v>9</v>
      </c>
      <c r="I80" s="46"/>
    </row>
    <row r="81" spans="1:9" s="20" customFormat="1" ht="47.25" hidden="1">
      <c r="A81" s="203"/>
      <c r="B81" s="204"/>
      <c r="C81" s="35" t="s">
        <v>3</v>
      </c>
      <c r="D81" s="36">
        <v>0</v>
      </c>
      <c r="E81" s="35" t="s">
        <v>3</v>
      </c>
      <c r="F81" s="36">
        <v>96920</v>
      </c>
      <c r="G81" s="19">
        <f t="shared" si="3"/>
        <v>96920</v>
      </c>
      <c r="H81" s="4"/>
      <c r="I81" s="46"/>
    </row>
    <row r="82" spans="1:9" s="20" customFormat="1" ht="15.75" hidden="1">
      <c r="A82" s="203"/>
      <c r="B82" s="204"/>
      <c r="C82" s="4"/>
      <c r="D82" s="19">
        <v>0</v>
      </c>
      <c r="E82" s="35"/>
      <c r="F82" s="36"/>
      <c r="G82" s="19">
        <f t="shared" si="3"/>
        <v>0</v>
      </c>
      <c r="H82" s="4"/>
      <c r="I82" s="46"/>
    </row>
    <row r="83" spans="1:9" s="20" customFormat="1" ht="47.25">
      <c r="A83" s="203" t="s">
        <v>108</v>
      </c>
      <c r="B83" s="204" t="s">
        <v>55</v>
      </c>
      <c r="C83" s="4" t="s">
        <v>344</v>
      </c>
      <c r="D83" s="17">
        <v>0</v>
      </c>
      <c r="E83" s="4" t="s">
        <v>344</v>
      </c>
      <c r="F83" s="19">
        <v>668216</v>
      </c>
      <c r="G83" s="19">
        <f t="shared" si="3"/>
        <v>668216</v>
      </c>
      <c r="H83" s="71" t="s">
        <v>9</v>
      </c>
      <c r="I83" s="46"/>
    </row>
    <row r="84" spans="1:9" s="20" customFormat="1" ht="47.25" hidden="1">
      <c r="A84" s="203"/>
      <c r="B84" s="204"/>
      <c r="C84" s="35" t="s">
        <v>3</v>
      </c>
      <c r="D84" s="36">
        <v>28156</v>
      </c>
      <c r="E84" s="35" t="s">
        <v>3</v>
      </c>
      <c r="F84" s="36">
        <v>10000</v>
      </c>
      <c r="G84" s="19">
        <f t="shared" si="3"/>
        <v>38156</v>
      </c>
      <c r="H84" s="4"/>
      <c r="I84" s="46"/>
    </row>
    <row r="85" spans="1:9" s="20" customFormat="1" ht="15.75" hidden="1">
      <c r="A85" s="203"/>
      <c r="B85" s="204"/>
      <c r="C85" s="4"/>
      <c r="D85" s="19">
        <v>0</v>
      </c>
      <c r="E85" s="35"/>
      <c r="F85" s="36"/>
      <c r="G85" s="19">
        <f t="shared" si="3"/>
        <v>0</v>
      </c>
      <c r="H85" s="4"/>
      <c r="I85" s="46"/>
    </row>
    <row r="86" spans="1:9" s="20" customFormat="1" ht="47.25" customHeight="1">
      <c r="A86" s="203" t="s">
        <v>109</v>
      </c>
      <c r="B86" s="204" t="s">
        <v>56</v>
      </c>
      <c r="C86" s="4" t="s">
        <v>344</v>
      </c>
      <c r="D86" s="17">
        <v>0</v>
      </c>
      <c r="E86" s="4" t="s">
        <v>344</v>
      </c>
      <c r="F86" s="19">
        <v>6000</v>
      </c>
      <c r="G86" s="19">
        <f t="shared" si="3"/>
        <v>6000</v>
      </c>
      <c r="H86" s="71">
        <v>265928</v>
      </c>
      <c r="I86" s="46"/>
    </row>
    <row r="87" spans="1:9" s="20" customFormat="1" ht="47.25" hidden="1">
      <c r="A87" s="203"/>
      <c r="B87" s="204"/>
      <c r="C87" s="4"/>
      <c r="D87" s="17"/>
      <c r="E87" s="35" t="s">
        <v>3</v>
      </c>
      <c r="F87" s="36">
        <v>6000</v>
      </c>
      <c r="G87" s="19">
        <f t="shared" si="3"/>
        <v>6000</v>
      </c>
      <c r="H87" s="4"/>
      <c r="I87" s="46"/>
    </row>
    <row r="88" spans="1:9" s="20" customFormat="1" ht="66" customHeight="1" hidden="1">
      <c r="A88" s="203"/>
      <c r="B88" s="204"/>
      <c r="C88" s="4"/>
      <c r="D88" s="17">
        <v>0</v>
      </c>
      <c r="E88" s="35"/>
      <c r="F88" s="36"/>
      <c r="G88" s="19">
        <f t="shared" si="3"/>
        <v>0</v>
      </c>
      <c r="H88" s="4"/>
      <c r="I88" s="46"/>
    </row>
    <row r="89" spans="1:9" s="53" customFormat="1" ht="50.25" customHeight="1">
      <c r="A89" s="205" t="s">
        <v>337</v>
      </c>
      <c r="B89" s="201" t="s">
        <v>338</v>
      </c>
      <c r="C89" s="4" t="s">
        <v>344</v>
      </c>
      <c r="D89" s="17">
        <v>0</v>
      </c>
      <c r="E89" s="4" t="s">
        <v>344</v>
      </c>
      <c r="F89" s="19">
        <v>5905334</v>
      </c>
      <c r="G89" s="19">
        <f t="shared" si="3"/>
        <v>5905334</v>
      </c>
      <c r="H89" s="71">
        <v>19555</v>
      </c>
      <c r="I89" s="46"/>
    </row>
    <row r="90" spans="1:9" s="53" customFormat="1" ht="60" customHeight="1" hidden="1">
      <c r="A90" s="206"/>
      <c r="B90" s="202"/>
      <c r="C90" s="4" t="s">
        <v>420</v>
      </c>
      <c r="D90" s="17">
        <v>4380</v>
      </c>
      <c r="E90" s="4"/>
      <c r="F90" s="19"/>
      <c r="G90" s="19">
        <f>D90+F90</f>
        <v>4380</v>
      </c>
      <c r="H90" s="71"/>
      <c r="I90" s="46"/>
    </row>
    <row r="91" spans="1:9" s="20" customFormat="1" ht="47.25" hidden="1">
      <c r="A91" s="18" t="s">
        <v>147</v>
      </c>
      <c r="B91" s="4" t="s">
        <v>148</v>
      </c>
      <c r="C91" s="4" t="s">
        <v>289</v>
      </c>
      <c r="D91" s="17">
        <v>9209185</v>
      </c>
      <c r="E91" s="4"/>
      <c r="F91" s="9"/>
      <c r="G91" s="19">
        <f t="shared" si="3"/>
        <v>9209185</v>
      </c>
      <c r="H91" s="4"/>
      <c r="I91" s="46"/>
    </row>
    <row r="92" spans="1:9" s="20" customFormat="1" ht="63.75" customHeight="1" hidden="1">
      <c r="A92" s="18" t="s">
        <v>452</v>
      </c>
      <c r="B92" s="4" t="s">
        <v>453</v>
      </c>
      <c r="C92" s="4"/>
      <c r="D92" s="17"/>
      <c r="E92" s="4" t="s">
        <v>451</v>
      </c>
      <c r="F92" s="19">
        <v>35000</v>
      </c>
      <c r="G92" s="19">
        <f t="shared" si="3"/>
        <v>35000</v>
      </c>
      <c r="H92" s="4"/>
      <c r="I92" s="46"/>
    </row>
    <row r="93" spans="1:9" s="20" customFormat="1" ht="46.5" customHeight="1" hidden="1">
      <c r="A93" s="18" t="s">
        <v>111</v>
      </c>
      <c r="B93" s="4" t="s">
        <v>277</v>
      </c>
      <c r="C93" s="4" t="s">
        <v>5</v>
      </c>
      <c r="D93" s="17">
        <v>3146037</v>
      </c>
      <c r="E93" s="4"/>
      <c r="F93" s="9"/>
      <c r="G93" s="19">
        <f t="shared" si="3"/>
        <v>3146037</v>
      </c>
      <c r="H93" s="4"/>
      <c r="I93" s="46"/>
    </row>
    <row r="94" spans="1:9" s="20" customFormat="1" ht="52.5" customHeight="1" hidden="1">
      <c r="A94" s="18" t="s">
        <v>119</v>
      </c>
      <c r="B94" s="4" t="s">
        <v>120</v>
      </c>
      <c r="C94" s="4"/>
      <c r="D94" s="5"/>
      <c r="E94" s="4" t="s">
        <v>451</v>
      </c>
      <c r="F94" s="19">
        <v>11179599</v>
      </c>
      <c r="G94" s="19">
        <f t="shared" si="3"/>
        <v>11179599</v>
      </c>
      <c r="H94" s="71"/>
      <c r="I94" s="46"/>
    </row>
    <row r="95" spans="1:9" s="20" customFormat="1" ht="36" customHeight="1" hidden="1">
      <c r="A95" s="203" t="s">
        <v>106</v>
      </c>
      <c r="B95" s="204" t="s">
        <v>140</v>
      </c>
      <c r="C95" s="4"/>
      <c r="D95" s="5"/>
      <c r="E95" s="4" t="s">
        <v>172</v>
      </c>
      <c r="F95" s="12"/>
      <c r="G95" s="9">
        <v>0</v>
      </c>
      <c r="H95" s="4"/>
      <c r="I95" s="46"/>
    </row>
    <row r="96" spans="1:9" s="20" customFormat="1" ht="33" customHeight="1" hidden="1">
      <c r="A96" s="203"/>
      <c r="B96" s="204"/>
      <c r="C96" s="4"/>
      <c r="D96" s="5"/>
      <c r="E96" s="4" t="s">
        <v>173</v>
      </c>
      <c r="F96" s="12"/>
      <c r="G96" s="9">
        <v>0</v>
      </c>
      <c r="H96" s="4"/>
      <c r="I96" s="46"/>
    </row>
    <row r="97" spans="1:9" s="20" customFormat="1" ht="49.5" customHeight="1" hidden="1">
      <c r="A97" s="22" t="s">
        <v>185</v>
      </c>
      <c r="B97" s="23" t="s">
        <v>86</v>
      </c>
      <c r="C97" s="4"/>
      <c r="D97" s="28">
        <f>D100+D103+D105+D106+D108+D109+D110+D111+D112+D113+D117+D119+D120+D101</f>
        <v>13820054</v>
      </c>
      <c r="E97" s="9"/>
      <c r="F97" s="28">
        <f>F98+F101+F105+F106+F108+F111+F114+F115</f>
        <v>4962683</v>
      </c>
      <c r="G97" s="28">
        <f>D97+F97</f>
        <v>18782737</v>
      </c>
      <c r="H97" s="71"/>
      <c r="I97" s="46"/>
    </row>
    <row r="98" spans="1:9" s="20" customFormat="1" ht="31.5" hidden="1">
      <c r="A98" s="203" t="s">
        <v>207</v>
      </c>
      <c r="B98" s="204" t="s">
        <v>208</v>
      </c>
      <c r="C98" s="4"/>
      <c r="D98" s="19"/>
      <c r="E98" s="4" t="s">
        <v>450</v>
      </c>
      <c r="F98" s="19">
        <v>523900</v>
      </c>
      <c r="G98" s="19">
        <f>D98+F98</f>
        <v>523900</v>
      </c>
      <c r="H98" s="4"/>
      <c r="I98" s="46"/>
    </row>
    <row r="99" spans="1:9" s="20" customFormat="1" ht="96.75" customHeight="1" hidden="1">
      <c r="A99" s="203"/>
      <c r="B99" s="204"/>
      <c r="C99" s="4" t="s">
        <v>275</v>
      </c>
      <c r="D99" s="17">
        <v>0</v>
      </c>
      <c r="E99" s="4"/>
      <c r="F99" s="9"/>
      <c r="G99" s="19">
        <f aca="true" t="shared" si="4" ref="G99:G120">D99+F99</f>
        <v>0</v>
      </c>
      <c r="H99" s="4"/>
      <c r="I99" s="46"/>
    </row>
    <row r="100" spans="1:9" s="20" customFormat="1" ht="64.5" customHeight="1" hidden="1">
      <c r="A100" s="203"/>
      <c r="B100" s="204"/>
      <c r="C100" s="4" t="s">
        <v>420</v>
      </c>
      <c r="D100" s="19">
        <v>5519</v>
      </c>
      <c r="E100" s="4"/>
      <c r="F100" s="9"/>
      <c r="G100" s="19">
        <f t="shared" si="4"/>
        <v>5519</v>
      </c>
      <c r="H100" s="4"/>
      <c r="I100" s="46"/>
    </row>
    <row r="101" spans="1:9" s="20" customFormat="1" ht="51.75" customHeight="1" hidden="1">
      <c r="A101" s="203" t="s">
        <v>114</v>
      </c>
      <c r="B101" s="204" t="s">
        <v>281</v>
      </c>
      <c r="C101" s="4" t="s">
        <v>420</v>
      </c>
      <c r="D101" s="19">
        <v>239</v>
      </c>
      <c r="E101" s="4" t="s">
        <v>469</v>
      </c>
      <c r="F101" s="19">
        <v>119850</v>
      </c>
      <c r="G101" s="19">
        <f t="shared" si="4"/>
        <v>120089</v>
      </c>
      <c r="H101" s="4"/>
      <c r="I101" s="46"/>
    </row>
    <row r="102" spans="1:9" s="20" customFormat="1" ht="63" hidden="1">
      <c r="A102" s="203"/>
      <c r="B102" s="204"/>
      <c r="C102" s="4" t="s">
        <v>334</v>
      </c>
      <c r="D102" s="17">
        <v>0</v>
      </c>
      <c r="E102" s="4"/>
      <c r="F102" s="19"/>
      <c r="G102" s="19">
        <f t="shared" si="4"/>
        <v>0</v>
      </c>
      <c r="H102" s="4"/>
      <c r="I102" s="46"/>
    </row>
    <row r="103" spans="1:9" s="20" customFormat="1" ht="47.25" hidden="1">
      <c r="A103" s="18" t="s">
        <v>115</v>
      </c>
      <c r="B103" s="4" t="s">
        <v>282</v>
      </c>
      <c r="C103" s="4" t="s">
        <v>469</v>
      </c>
      <c r="D103" s="17">
        <v>201763</v>
      </c>
      <c r="E103" s="4"/>
      <c r="F103" s="9"/>
      <c r="G103" s="19">
        <f t="shared" si="4"/>
        <v>201763</v>
      </c>
      <c r="H103" s="4"/>
      <c r="I103" s="46"/>
    </row>
    <row r="104" spans="1:9" s="20" customFormat="1" ht="47.25" hidden="1">
      <c r="A104" s="18" t="s">
        <v>116</v>
      </c>
      <c r="B104" s="4" t="s">
        <v>283</v>
      </c>
      <c r="C104" s="4"/>
      <c r="D104" s="17"/>
      <c r="E104" s="4"/>
      <c r="F104" s="9"/>
      <c r="G104" s="19">
        <f t="shared" si="4"/>
        <v>0</v>
      </c>
      <c r="H104" s="4"/>
      <c r="I104" s="46"/>
    </row>
    <row r="105" spans="1:9" s="20" customFormat="1" ht="47.25" customHeight="1" hidden="1">
      <c r="A105" s="203" t="s">
        <v>205</v>
      </c>
      <c r="B105" s="204" t="s">
        <v>206</v>
      </c>
      <c r="C105" s="4" t="s">
        <v>445</v>
      </c>
      <c r="D105" s="17">
        <v>3925134</v>
      </c>
      <c r="E105" s="4" t="s">
        <v>470</v>
      </c>
      <c r="F105" s="19">
        <v>53060</v>
      </c>
      <c r="G105" s="19">
        <f t="shared" si="4"/>
        <v>3978194</v>
      </c>
      <c r="H105" s="4"/>
      <c r="I105" s="46"/>
    </row>
    <row r="106" spans="1:9" s="20" customFormat="1" ht="50.25" customHeight="1" hidden="1">
      <c r="A106" s="203"/>
      <c r="B106" s="204"/>
      <c r="C106" s="4" t="s">
        <v>394</v>
      </c>
      <c r="D106" s="17">
        <v>24192</v>
      </c>
      <c r="E106" s="4" t="s">
        <v>394</v>
      </c>
      <c r="F106" s="19">
        <v>24192</v>
      </c>
      <c r="G106" s="19">
        <f t="shared" si="4"/>
        <v>48384</v>
      </c>
      <c r="H106" s="4"/>
      <c r="I106" s="46"/>
    </row>
    <row r="107" spans="1:9" s="20" customFormat="1" ht="110.25" customHeight="1" hidden="1">
      <c r="A107" s="203"/>
      <c r="B107" s="204"/>
      <c r="C107" s="4"/>
      <c r="D107" s="17"/>
      <c r="E107" s="4"/>
      <c r="F107" s="9"/>
      <c r="G107" s="19">
        <f t="shared" si="4"/>
        <v>0</v>
      </c>
      <c r="H107" s="4"/>
      <c r="I107" s="46"/>
    </row>
    <row r="108" spans="1:9" s="20" customFormat="1" ht="51" customHeight="1" hidden="1">
      <c r="A108" s="203"/>
      <c r="B108" s="204"/>
      <c r="C108" s="35" t="s">
        <v>3</v>
      </c>
      <c r="D108" s="37">
        <v>3500</v>
      </c>
      <c r="E108" s="35" t="s">
        <v>3</v>
      </c>
      <c r="F108" s="37">
        <v>23400</v>
      </c>
      <c r="G108" s="19">
        <f t="shared" si="4"/>
        <v>26900</v>
      </c>
      <c r="H108" s="4"/>
      <c r="I108" s="46"/>
    </row>
    <row r="109" spans="1:9" s="20" customFormat="1" ht="63" hidden="1">
      <c r="A109" s="203"/>
      <c r="B109" s="204"/>
      <c r="C109" s="4" t="s">
        <v>420</v>
      </c>
      <c r="D109" s="9">
        <v>8307</v>
      </c>
      <c r="E109" s="35"/>
      <c r="F109" s="37"/>
      <c r="G109" s="19">
        <f t="shared" si="4"/>
        <v>8307</v>
      </c>
      <c r="H109" s="4"/>
      <c r="I109" s="46"/>
    </row>
    <row r="110" spans="1:9" s="20" customFormat="1" ht="49.5" customHeight="1" hidden="1">
      <c r="A110" s="203" t="s">
        <v>58</v>
      </c>
      <c r="B110" s="204" t="s">
        <v>52</v>
      </c>
      <c r="C110" s="4" t="s">
        <v>446</v>
      </c>
      <c r="D110" s="17">
        <v>972100</v>
      </c>
      <c r="E110" s="4"/>
      <c r="F110" s="9"/>
      <c r="G110" s="19">
        <f t="shared" si="4"/>
        <v>972100</v>
      </c>
      <c r="H110" s="4"/>
      <c r="I110" s="46"/>
    </row>
    <row r="111" spans="1:9" s="20" customFormat="1" ht="47.25" hidden="1">
      <c r="A111" s="203"/>
      <c r="B111" s="204"/>
      <c r="C111" s="35" t="s">
        <v>311</v>
      </c>
      <c r="D111" s="37">
        <v>0</v>
      </c>
      <c r="E111" s="35" t="s">
        <v>311</v>
      </c>
      <c r="F111" s="37">
        <v>0</v>
      </c>
      <c r="G111" s="19">
        <f t="shared" si="4"/>
        <v>0</v>
      </c>
      <c r="H111" s="4"/>
      <c r="I111" s="46"/>
    </row>
    <row r="112" spans="1:9" s="20" customFormat="1" ht="48" customHeight="1" hidden="1">
      <c r="A112" s="203" t="s">
        <v>121</v>
      </c>
      <c r="B112" s="204" t="s">
        <v>128</v>
      </c>
      <c r="C112" s="4" t="s">
        <v>446</v>
      </c>
      <c r="D112" s="17">
        <v>7134400</v>
      </c>
      <c r="E112" s="4"/>
      <c r="F112" s="9"/>
      <c r="G112" s="19">
        <f>D112+F112</f>
        <v>7134400</v>
      </c>
      <c r="H112" s="4"/>
      <c r="I112" s="46"/>
    </row>
    <row r="113" spans="1:9" s="20" customFormat="1" ht="47.25" hidden="1">
      <c r="A113" s="203"/>
      <c r="B113" s="204"/>
      <c r="C113" s="35" t="s">
        <v>311</v>
      </c>
      <c r="D113" s="38">
        <v>0</v>
      </c>
      <c r="E113" s="35"/>
      <c r="F113" s="37"/>
      <c r="G113" s="19">
        <f t="shared" si="4"/>
        <v>0</v>
      </c>
      <c r="H113" s="4"/>
      <c r="I113" s="46"/>
    </row>
    <row r="114" spans="1:9" s="20" customFormat="1" ht="48" customHeight="1" hidden="1">
      <c r="A114" s="203" t="s">
        <v>119</v>
      </c>
      <c r="B114" s="204" t="s">
        <v>120</v>
      </c>
      <c r="C114" s="4"/>
      <c r="D114" s="17"/>
      <c r="E114" s="4" t="s">
        <v>321</v>
      </c>
      <c r="F114" s="12">
        <v>0</v>
      </c>
      <c r="G114" s="19">
        <f t="shared" si="4"/>
        <v>0</v>
      </c>
      <c r="H114" s="4"/>
      <c r="I114" s="46"/>
    </row>
    <row r="115" spans="1:9" s="20" customFormat="1" ht="45.75" customHeight="1" hidden="1">
      <c r="A115" s="203"/>
      <c r="B115" s="204"/>
      <c r="C115" s="4"/>
      <c r="D115" s="5"/>
      <c r="E115" s="4" t="s">
        <v>471</v>
      </c>
      <c r="F115" s="12">
        <v>4218281</v>
      </c>
      <c r="G115" s="19">
        <f t="shared" si="4"/>
        <v>4218281</v>
      </c>
      <c r="H115" s="4"/>
      <c r="I115" s="46"/>
    </row>
    <row r="116" spans="1:9" s="20" customFormat="1" ht="52.5" customHeight="1" hidden="1">
      <c r="A116" s="18" t="s">
        <v>68</v>
      </c>
      <c r="B116" s="204" t="s">
        <v>279</v>
      </c>
      <c r="C116" s="4" t="s">
        <v>174</v>
      </c>
      <c r="D116" s="17"/>
      <c r="E116" s="4"/>
      <c r="F116" s="16"/>
      <c r="G116" s="19">
        <f t="shared" si="4"/>
        <v>0</v>
      </c>
      <c r="H116" s="4"/>
      <c r="I116" s="46"/>
    </row>
    <row r="117" spans="1:9" s="20" customFormat="1" ht="53.25" customHeight="1" hidden="1">
      <c r="A117" s="203" t="s">
        <v>68</v>
      </c>
      <c r="B117" s="204"/>
      <c r="C117" s="4" t="s">
        <v>446</v>
      </c>
      <c r="D117" s="17">
        <v>174150</v>
      </c>
      <c r="E117" s="4"/>
      <c r="F117" s="16"/>
      <c r="G117" s="19">
        <f t="shared" si="4"/>
        <v>174150</v>
      </c>
      <c r="H117" s="4"/>
      <c r="I117" s="46"/>
    </row>
    <row r="118" spans="1:9" s="20" customFormat="1" ht="62.25" customHeight="1" hidden="1">
      <c r="A118" s="203"/>
      <c r="B118" s="204"/>
      <c r="C118" s="4" t="s">
        <v>275</v>
      </c>
      <c r="D118" s="17"/>
      <c r="E118" s="4"/>
      <c r="F118" s="16"/>
      <c r="G118" s="19">
        <f t="shared" si="4"/>
        <v>0</v>
      </c>
      <c r="H118" s="4"/>
      <c r="I118" s="46"/>
    </row>
    <row r="119" spans="1:9" s="20" customFormat="1" ht="57" customHeight="1" hidden="1">
      <c r="A119" s="18" t="s">
        <v>122</v>
      </c>
      <c r="B119" s="4" t="s">
        <v>280</v>
      </c>
      <c r="C119" s="4" t="s">
        <v>446</v>
      </c>
      <c r="D119" s="17">
        <v>500000</v>
      </c>
      <c r="E119" s="4"/>
      <c r="F119" s="16"/>
      <c r="G119" s="19">
        <f t="shared" si="4"/>
        <v>500000</v>
      </c>
      <c r="H119" s="4"/>
      <c r="I119" s="46"/>
    </row>
    <row r="120" spans="1:9" s="20" customFormat="1" ht="51" customHeight="1" hidden="1">
      <c r="A120" s="18" t="s">
        <v>152</v>
      </c>
      <c r="B120" s="4" t="s">
        <v>267</v>
      </c>
      <c r="C120" s="4" t="s">
        <v>446</v>
      </c>
      <c r="D120" s="17">
        <v>870750</v>
      </c>
      <c r="E120" s="4"/>
      <c r="F120" s="16"/>
      <c r="G120" s="19">
        <f t="shared" si="4"/>
        <v>870750</v>
      </c>
      <c r="H120" s="4"/>
      <c r="I120" s="46"/>
    </row>
    <row r="121" spans="1:9" s="20" customFormat="1" ht="68.25" customHeight="1" hidden="1">
      <c r="A121" s="22" t="s">
        <v>218</v>
      </c>
      <c r="B121" s="23" t="s">
        <v>222</v>
      </c>
      <c r="C121" s="4"/>
      <c r="D121" s="24">
        <v>0</v>
      </c>
      <c r="E121" s="4"/>
      <c r="F121" s="24">
        <v>0</v>
      </c>
      <c r="G121" s="24">
        <v>0</v>
      </c>
      <c r="H121" s="4"/>
      <c r="I121" s="46"/>
    </row>
    <row r="122" spans="1:9" s="20" customFormat="1" ht="31.5" hidden="1">
      <c r="A122" s="18" t="s">
        <v>207</v>
      </c>
      <c r="B122" s="4" t="s">
        <v>208</v>
      </c>
      <c r="C122" s="4" t="s">
        <v>219</v>
      </c>
      <c r="D122" s="17"/>
      <c r="E122" s="4" t="s">
        <v>219</v>
      </c>
      <c r="F122" s="12"/>
      <c r="G122" s="9">
        <v>0</v>
      </c>
      <c r="H122" s="4"/>
      <c r="I122" s="46"/>
    </row>
    <row r="123" spans="1:9" s="20" customFormat="1" ht="63" hidden="1">
      <c r="A123" s="22" t="s">
        <v>229</v>
      </c>
      <c r="B123" s="23" t="s">
        <v>230</v>
      </c>
      <c r="C123" s="4"/>
      <c r="D123" s="24">
        <f>D124</f>
        <v>0</v>
      </c>
      <c r="E123" s="4"/>
      <c r="F123" s="24">
        <f>F124</f>
        <v>7000</v>
      </c>
      <c r="G123" s="24">
        <f>D123+F123</f>
        <v>7000</v>
      </c>
      <c r="H123" s="4"/>
      <c r="I123" s="46"/>
    </row>
    <row r="124" spans="1:9" s="20" customFormat="1" ht="31.5" hidden="1">
      <c r="A124" s="18" t="s">
        <v>207</v>
      </c>
      <c r="B124" s="4" t="s">
        <v>208</v>
      </c>
      <c r="C124" s="4"/>
      <c r="D124" s="17"/>
      <c r="E124" s="4" t="s">
        <v>450</v>
      </c>
      <c r="F124" s="12">
        <v>7000</v>
      </c>
      <c r="G124" s="19">
        <f>D124+F124</f>
        <v>7000</v>
      </c>
      <c r="H124" s="4"/>
      <c r="I124" s="46"/>
    </row>
    <row r="125" spans="1:9" s="20" customFormat="1" ht="35.25" customHeight="1">
      <c r="A125" s="22" t="s">
        <v>190</v>
      </c>
      <c r="B125" s="23" t="s">
        <v>89</v>
      </c>
      <c r="C125" s="4"/>
      <c r="D125" s="24">
        <f>D127+D129+D130+D131+D132+D133+D135+D137+D138+D140+D141+D142+D128+D134+D143+D139+D136</f>
        <v>8363013</v>
      </c>
      <c r="E125" s="5"/>
      <c r="F125" s="24">
        <f>F127+F129+F130+F132+F133+F135+F140+F141+F144+F145+F137</f>
        <v>4246260</v>
      </c>
      <c r="G125" s="28">
        <f>D125+F125</f>
        <v>12609273</v>
      </c>
      <c r="H125" s="71"/>
      <c r="I125" s="46"/>
    </row>
    <row r="126" spans="1:9" s="20" customFormat="1" ht="31.5" hidden="1">
      <c r="A126" s="18" t="s">
        <v>207</v>
      </c>
      <c r="B126" s="4" t="s">
        <v>208</v>
      </c>
      <c r="C126" s="4" t="s">
        <v>221</v>
      </c>
      <c r="D126" s="17"/>
      <c r="E126" s="4"/>
      <c r="F126" s="19"/>
      <c r="G126" s="16">
        <v>0</v>
      </c>
      <c r="H126" s="4"/>
      <c r="I126" s="46"/>
    </row>
    <row r="127" spans="1:9" s="20" customFormat="1" ht="54" customHeight="1">
      <c r="A127" s="203" t="s">
        <v>201</v>
      </c>
      <c r="B127" s="204" t="s">
        <v>202</v>
      </c>
      <c r="C127" s="4" t="s">
        <v>2</v>
      </c>
      <c r="D127" s="17">
        <v>599140</v>
      </c>
      <c r="E127" s="4" t="s">
        <v>2</v>
      </c>
      <c r="F127" s="19">
        <v>1321</v>
      </c>
      <c r="G127" s="12">
        <f>D127+F127</f>
        <v>600461</v>
      </c>
      <c r="H127" s="71">
        <v>0</v>
      </c>
      <c r="I127" s="46"/>
    </row>
    <row r="128" spans="1:9" s="20" customFormat="1" ht="65.25" customHeight="1" hidden="1">
      <c r="A128" s="203"/>
      <c r="B128" s="204"/>
      <c r="C128" s="4" t="s">
        <v>420</v>
      </c>
      <c r="D128" s="17">
        <v>279</v>
      </c>
      <c r="E128" s="4"/>
      <c r="F128" s="19"/>
      <c r="G128" s="12">
        <f aca="true" t="shared" si="5" ref="G128:G144">D128+F128</f>
        <v>279</v>
      </c>
      <c r="H128" s="4"/>
      <c r="I128" s="46"/>
    </row>
    <row r="129" spans="1:9" s="20" customFormat="1" ht="54" customHeight="1">
      <c r="A129" s="203" t="s">
        <v>203</v>
      </c>
      <c r="B129" s="204" t="s">
        <v>204</v>
      </c>
      <c r="C129" s="4" t="s">
        <v>2</v>
      </c>
      <c r="D129" s="17">
        <v>2188093</v>
      </c>
      <c r="E129" s="4" t="s">
        <v>2</v>
      </c>
      <c r="F129" s="19">
        <v>207061</v>
      </c>
      <c r="G129" s="12">
        <f t="shared" si="5"/>
        <v>2395154</v>
      </c>
      <c r="H129" s="71">
        <v>0</v>
      </c>
      <c r="I129" s="46"/>
    </row>
    <row r="130" spans="1:9" s="20" customFormat="1" ht="47.25" hidden="1">
      <c r="A130" s="203"/>
      <c r="B130" s="204"/>
      <c r="C130" s="35" t="s">
        <v>3</v>
      </c>
      <c r="D130" s="36">
        <v>500</v>
      </c>
      <c r="E130" s="35" t="s">
        <v>3</v>
      </c>
      <c r="F130" s="36">
        <v>59018</v>
      </c>
      <c r="G130" s="12">
        <f t="shared" si="5"/>
        <v>59518</v>
      </c>
      <c r="H130" s="4"/>
      <c r="I130" s="46"/>
    </row>
    <row r="131" spans="1:9" s="20" customFormat="1" ht="66.75" customHeight="1" hidden="1">
      <c r="A131" s="203"/>
      <c r="B131" s="204"/>
      <c r="C131" s="4" t="s">
        <v>420</v>
      </c>
      <c r="D131" s="19">
        <v>2511</v>
      </c>
      <c r="E131" s="35"/>
      <c r="F131" s="36"/>
      <c r="G131" s="12">
        <f t="shared" si="5"/>
        <v>2511</v>
      </c>
      <c r="H131" s="4"/>
      <c r="I131" s="46"/>
    </row>
    <row r="132" spans="1:9" s="20" customFormat="1" ht="54" customHeight="1">
      <c r="A132" s="205" t="s">
        <v>211</v>
      </c>
      <c r="B132" s="201" t="s">
        <v>212</v>
      </c>
      <c r="C132" s="4" t="s">
        <v>2</v>
      </c>
      <c r="D132" s="17">
        <v>1255924</v>
      </c>
      <c r="E132" s="4" t="s">
        <v>2</v>
      </c>
      <c r="F132" s="19">
        <v>1931965</v>
      </c>
      <c r="G132" s="12">
        <f t="shared" si="5"/>
        <v>3187889</v>
      </c>
      <c r="H132" s="73">
        <f>149214+58070+7900+19790+167074+132486</f>
        <v>534534</v>
      </c>
      <c r="I132" s="72"/>
    </row>
    <row r="133" spans="1:9" s="20" customFormat="1" ht="47.25" hidden="1">
      <c r="A133" s="212"/>
      <c r="B133" s="213"/>
      <c r="C133" s="35" t="s">
        <v>3</v>
      </c>
      <c r="D133" s="36">
        <v>0</v>
      </c>
      <c r="E133" s="35" t="s">
        <v>3</v>
      </c>
      <c r="F133" s="36">
        <v>4920</v>
      </c>
      <c r="G133" s="12">
        <f t="shared" si="5"/>
        <v>4920</v>
      </c>
      <c r="H133" s="4"/>
      <c r="I133" s="46"/>
    </row>
    <row r="134" spans="1:9" s="20" customFormat="1" ht="63" hidden="1">
      <c r="A134" s="206"/>
      <c r="B134" s="202"/>
      <c r="C134" s="4" t="s">
        <v>420</v>
      </c>
      <c r="D134" s="19">
        <v>5829</v>
      </c>
      <c r="E134" s="35"/>
      <c r="F134" s="36"/>
      <c r="G134" s="12">
        <f>D134+F134</f>
        <v>5829</v>
      </c>
      <c r="H134" s="4"/>
      <c r="I134" s="46"/>
    </row>
    <row r="135" spans="1:9" s="20" customFormat="1" ht="51" customHeight="1">
      <c r="A135" s="203" t="s">
        <v>209</v>
      </c>
      <c r="B135" s="204" t="s">
        <v>210</v>
      </c>
      <c r="C135" s="4" t="s">
        <v>2</v>
      </c>
      <c r="D135" s="17">
        <v>536069</v>
      </c>
      <c r="E135" s="4" t="s">
        <v>2</v>
      </c>
      <c r="F135" s="19">
        <v>1820736</v>
      </c>
      <c r="G135" s="12">
        <f t="shared" si="5"/>
        <v>2356805</v>
      </c>
      <c r="H135" s="71">
        <v>321482</v>
      </c>
      <c r="I135" s="46"/>
    </row>
    <row r="136" spans="1:9" s="20" customFormat="1" ht="63" hidden="1">
      <c r="A136" s="203"/>
      <c r="B136" s="204"/>
      <c r="C136" s="4" t="s">
        <v>420</v>
      </c>
      <c r="D136" s="17">
        <v>2232</v>
      </c>
      <c r="E136" s="35"/>
      <c r="F136" s="36"/>
      <c r="G136" s="12">
        <f t="shared" si="5"/>
        <v>2232</v>
      </c>
      <c r="H136" s="4"/>
      <c r="I136" s="46"/>
    </row>
    <row r="137" spans="1:9" s="20" customFormat="1" ht="66" customHeight="1" hidden="1">
      <c r="A137" s="203"/>
      <c r="B137" s="204"/>
      <c r="C137" s="4"/>
      <c r="D137" s="17"/>
      <c r="E137" s="35" t="s">
        <v>3</v>
      </c>
      <c r="F137" s="36">
        <v>3000</v>
      </c>
      <c r="G137" s="12">
        <f t="shared" si="5"/>
        <v>3000</v>
      </c>
      <c r="H137" s="4"/>
      <c r="I137" s="46"/>
    </row>
    <row r="138" spans="1:9" s="20" customFormat="1" ht="47.25" hidden="1">
      <c r="A138" s="207">
        <v>110300</v>
      </c>
      <c r="B138" s="201" t="s">
        <v>65</v>
      </c>
      <c r="C138" s="4" t="s">
        <v>4</v>
      </c>
      <c r="D138" s="21">
        <v>1114809</v>
      </c>
      <c r="E138" s="4"/>
      <c r="F138" s="36"/>
      <c r="G138" s="12">
        <f t="shared" si="5"/>
        <v>1114809</v>
      </c>
      <c r="H138" s="4"/>
      <c r="I138" s="46"/>
    </row>
    <row r="139" spans="1:9" s="20" customFormat="1" ht="63" hidden="1">
      <c r="A139" s="208"/>
      <c r="B139" s="202"/>
      <c r="C139" s="4" t="s">
        <v>420</v>
      </c>
      <c r="D139" s="21">
        <v>13116</v>
      </c>
      <c r="E139" s="4"/>
      <c r="F139" s="36"/>
      <c r="G139" s="12">
        <f t="shared" si="5"/>
        <v>13116</v>
      </c>
      <c r="H139" s="4"/>
      <c r="I139" s="46"/>
    </row>
    <row r="140" spans="1:9" s="20" customFormat="1" ht="31.5">
      <c r="A140" s="210">
        <v>110502</v>
      </c>
      <c r="B140" s="204" t="s">
        <v>53</v>
      </c>
      <c r="C140" s="4" t="s">
        <v>491</v>
      </c>
      <c r="D140" s="15">
        <v>1693819</v>
      </c>
      <c r="E140" s="4" t="s">
        <v>472</v>
      </c>
      <c r="F140" s="16">
        <v>42020</v>
      </c>
      <c r="G140" s="12">
        <f t="shared" si="5"/>
        <v>1735839</v>
      </c>
      <c r="H140" s="71"/>
      <c r="I140" s="46"/>
    </row>
    <row r="141" spans="1:9" s="20" customFormat="1" ht="51" customHeight="1">
      <c r="A141" s="210"/>
      <c r="B141" s="204"/>
      <c r="C141" s="4" t="s">
        <v>2</v>
      </c>
      <c r="D141" s="15">
        <v>925412</v>
      </c>
      <c r="E141" s="4" t="s">
        <v>2</v>
      </c>
      <c r="F141" s="12">
        <v>39696</v>
      </c>
      <c r="G141" s="12">
        <f t="shared" si="5"/>
        <v>965108</v>
      </c>
      <c r="H141" s="4"/>
      <c r="I141" s="46"/>
    </row>
    <row r="142" spans="1:9" s="20" customFormat="1" ht="55.5" customHeight="1" hidden="1">
      <c r="A142" s="210"/>
      <c r="B142" s="204"/>
      <c r="C142" s="4" t="s">
        <v>490</v>
      </c>
      <c r="D142" s="15">
        <v>20000</v>
      </c>
      <c r="E142" s="35"/>
      <c r="F142" s="16"/>
      <c r="G142" s="12">
        <f t="shared" si="5"/>
        <v>20000</v>
      </c>
      <c r="H142" s="4"/>
      <c r="I142" s="46"/>
    </row>
    <row r="143" spans="1:9" s="20" customFormat="1" ht="68.25" customHeight="1" hidden="1">
      <c r="A143" s="210"/>
      <c r="B143" s="204"/>
      <c r="C143" s="4" t="s">
        <v>420</v>
      </c>
      <c r="D143" s="15">
        <v>5280</v>
      </c>
      <c r="E143" s="4"/>
      <c r="F143" s="16"/>
      <c r="G143" s="12">
        <f t="shared" si="5"/>
        <v>5280</v>
      </c>
      <c r="H143" s="4"/>
      <c r="I143" s="46"/>
    </row>
    <row r="144" spans="1:9" s="20" customFormat="1" ht="47.25" hidden="1">
      <c r="A144" s="210"/>
      <c r="B144" s="204"/>
      <c r="C144" s="4"/>
      <c r="D144" s="15"/>
      <c r="E144" s="35" t="s">
        <v>311</v>
      </c>
      <c r="F144" s="36"/>
      <c r="G144" s="12">
        <f t="shared" si="5"/>
        <v>0</v>
      </c>
      <c r="H144" s="4"/>
      <c r="I144" s="46"/>
    </row>
    <row r="145" spans="1:9" s="20" customFormat="1" ht="47.25" hidden="1">
      <c r="A145" s="18" t="s">
        <v>119</v>
      </c>
      <c r="B145" s="4" t="s">
        <v>120</v>
      </c>
      <c r="C145" s="4"/>
      <c r="D145" s="5"/>
      <c r="E145" s="4" t="s">
        <v>2</v>
      </c>
      <c r="F145" s="19">
        <v>136523</v>
      </c>
      <c r="G145" s="12">
        <f>D145+F145</f>
        <v>136523</v>
      </c>
      <c r="H145" s="71"/>
      <c r="I145" s="46"/>
    </row>
    <row r="146" spans="1:9" s="20" customFormat="1" ht="47.25" hidden="1">
      <c r="A146" s="22" t="s">
        <v>346</v>
      </c>
      <c r="B146" s="23" t="s">
        <v>347</v>
      </c>
      <c r="C146" s="4"/>
      <c r="D146" s="24">
        <v>0</v>
      </c>
      <c r="E146" s="5"/>
      <c r="F146" s="28">
        <v>0</v>
      </c>
      <c r="G146" s="27">
        <v>0</v>
      </c>
      <c r="H146" s="71"/>
      <c r="I146" s="46"/>
    </row>
    <row r="147" spans="1:9" s="20" customFormat="1" ht="47.25" hidden="1">
      <c r="A147" s="18" t="s">
        <v>207</v>
      </c>
      <c r="B147" s="4" t="s">
        <v>208</v>
      </c>
      <c r="C147" s="4"/>
      <c r="D147" s="5"/>
      <c r="E147" s="55" t="s">
        <v>319</v>
      </c>
      <c r="F147" s="56">
        <v>0</v>
      </c>
      <c r="G147" s="9">
        <v>0</v>
      </c>
      <c r="H147" s="71"/>
      <c r="I147" s="46"/>
    </row>
    <row r="148" spans="1:9" s="20" customFormat="1" ht="54" customHeight="1" hidden="1">
      <c r="A148" s="22" t="s">
        <v>189</v>
      </c>
      <c r="B148" s="23" t="s">
        <v>215</v>
      </c>
      <c r="C148" s="4"/>
      <c r="D148" s="24">
        <f>D149+D150+D151+D152</f>
        <v>228711</v>
      </c>
      <c r="E148" s="5"/>
      <c r="F148" s="28">
        <f>F149+F150</f>
        <v>1000201</v>
      </c>
      <c r="G148" s="28">
        <f aca="true" t="shared" si="6" ref="G148:G178">D148+F148</f>
        <v>1228912</v>
      </c>
      <c r="H148" s="71"/>
      <c r="I148" s="46"/>
    </row>
    <row r="149" spans="1:9" s="20" customFormat="1" ht="31.5" hidden="1">
      <c r="A149" s="18" t="s">
        <v>207</v>
      </c>
      <c r="B149" s="4" t="s">
        <v>208</v>
      </c>
      <c r="C149" s="4"/>
      <c r="D149" s="17"/>
      <c r="E149" s="4" t="s">
        <v>450</v>
      </c>
      <c r="F149" s="19">
        <v>14000</v>
      </c>
      <c r="G149" s="19">
        <f t="shared" si="6"/>
        <v>14000</v>
      </c>
      <c r="H149" s="4"/>
      <c r="I149" s="46"/>
    </row>
    <row r="150" spans="1:9" s="20" customFormat="1" ht="47.25" hidden="1">
      <c r="A150" s="18" t="s">
        <v>119</v>
      </c>
      <c r="B150" s="4" t="s">
        <v>120</v>
      </c>
      <c r="C150" s="4"/>
      <c r="D150" s="5"/>
      <c r="E150" s="4" t="s">
        <v>447</v>
      </c>
      <c r="F150" s="19">
        <v>986201</v>
      </c>
      <c r="G150" s="19">
        <f t="shared" si="6"/>
        <v>986201</v>
      </c>
      <c r="H150" s="4"/>
      <c r="I150" s="46"/>
    </row>
    <row r="151" spans="1:9" s="20" customFormat="1" ht="66" customHeight="1" hidden="1">
      <c r="A151" s="18" t="s">
        <v>112</v>
      </c>
      <c r="B151" s="4" t="s">
        <v>127</v>
      </c>
      <c r="C151" s="4" t="s">
        <v>393</v>
      </c>
      <c r="D151" s="17">
        <v>120711</v>
      </c>
      <c r="E151" s="4"/>
      <c r="F151" s="9"/>
      <c r="G151" s="19">
        <f t="shared" si="6"/>
        <v>120711</v>
      </c>
      <c r="H151" s="4"/>
      <c r="I151" s="46"/>
    </row>
    <row r="152" spans="1:9" s="20" customFormat="1" ht="47.25" hidden="1">
      <c r="A152" s="18" t="s">
        <v>137</v>
      </c>
      <c r="B152" s="4" t="s">
        <v>265</v>
      </c>
      <c r="C152" s="4" t="s">
        <v>385</v>
      </c>
      <c r="D152" s="17">
        <v>108000</v>
      </c>
      <c r="E152" s="4"/>
      <c r="F152" s="9"/>
      <c r="G152" s="19">
        <f t="shared" si="6"/>
        <v>108000</v>
      </c>
      <c r="H152" s="4"/>
      <c r="I152" s="46"/>
    </row>
    <row r="153" spans="1:9" s="20" customFormat="1" ht="47.25" hidden="1">
      <c r="A153" s="22" t="s">
        <v>224</v>
      </c>
      <c r="B153" s="23" t="s">
        <v>225</v>
      </c>
      <c r="C153" s="4"/>
      <c r="D153" s="24">
        <f>D154</f>
        <v>0</v>
      </c>
      <c r="E153" s="5"/>
      <c r="F153" s="24">
        <f>F154</f>
        <v>0</v>
      </c>
      <c r="G153" s="24">
        <f t="shared" si="6"/>
        <v>0</v>
      </c>
      <c r="H153" s="71"/>
      <c r="I153" s="46"/>
    </row>
    <row r="154" spans="1:9" s="20" customFormat="1" ht="48.75" customHeight="1" hidden="1">
      <c r="A154" s="18" t="s">
        <v>207</v>
      </c>
      <c r="B154" s="4" t="s">
        <v>208</v>
      </c>
      <c r="C154" s="4"/>
      <c r="D154" s="17"/>
      <c r="E154" s="4"/>
      <c r="F154" s="19">
        <v>0</v>
      </c>
      <c r="G154" s="24">
        <f t="shared" si="6"/>
        <v>0</v>
      </c>
      <c r="H154" s="4"/>
      <c r="I154" s="46"/>
    </row>
    <row r="155" spans="1:9" s="20" customFormat="1" ht="45.75" customHeight="1" hidden="1">
      <c r="A155" s="22" t="s">
        <v>187</v>
      </c>
      <c r="B155" s="23" t="s">
        <v>272</v>
      </c>
      <c r="C155" s="4"/>
      <c r="D155" s="24">
        <f>D157+D158+D159+D160+D166+D167+D179+D180+D164</f>
        <v>99545109</v>
      </c>
      <c r="E155" s="5"/>
      <c r="F155" s="28">
        <f>F156+F157+F158+F159+F160+F161+F163+F165+F166+F167+F169+F170+F172+F173+F174+F176+F177+F178+F179+F180+F164</f>
        <v>111898725</v>
      </c>
      <c r="G155" s="28">
        <f t="shared" si="6"/>
        <v>211443834</v>
      </c>
      <c r="H155" s="71"/>
      <c r="I155" s="46"/>
    </row>
    <row r="156" spans="1:9" s="20" customFormat="1" ht="45.75" customHeight="1" hidden="1">
      <c r="A156" s="203" t="s">
        <v>207</v>
      </c>
      <c r="B156" s="204" t="s">
        <v>208</v>
      </c>
      <c r="C156" s="4"/>
      <c r="D156" s="24"/>
      <c r="E156" s="4" t="s">
        <v>450</v>
      </c>
      <c r="F156" s="19">
        <v>35000</v>
      </c>
      <c r="G156" s="19">
        <f t="shared" si="6"/>
        <v>35000</v>
      </c>
      <c r="H156" s="71"/>
      <c r="I156" s="46"/>
    </row>
    <row r="157" spans="1:9" s="20" customFormat="1" ht="61.5" customHeight="1" hidden="1">
      <c r="A157" s="203"/>
      <c r="B157" s="204"/>
      <c r="C157" s="4" t="s">
        <v>420</v>
      </c>
      <c r="D157" s="17">
        <v>746</v>
      </c>
      <c r="E157" s="4"/>
      <c r="F157" s="19"/>
      <c r="G157" s="19">
        <f t="shared" si="6"/>
        <v>746</v>
      </c>
      <c r="H157" s="4"/>
      <c r="I157" s="46"/>
    </row>
    <row r="158" spans="1:9" s="20" customFormat="1" ht="47.25" hidden="1">
      <c r="A158" s="18" t="s">
        <v>121</v>
      </c>
      <c r="B158" s="4" t="s">
        <v>128</v>
      </c>
      <c r="C158" s="4" t="s">
        <v>473</v>
      </c>
      <c r="D158" s="17">
        <v>131000</v>
      </c>
      <c r="E158" s="4"/>
      <c r="F158" s="9"/>
      <c r="G158" s="19">
        <f t="shared" si="6"/>
        <v>131000</v>
      </c>
      <c r="H158" s="4"/>
      <c r="I158" s="46"/>
    </row>
    <row r="159" spans="1:9" s="20" customFormat="1" ht="47.25" hidden="1">
      <c r="A159" s="203" t="s">
        <v>263</v>
      </c>
      <c r="B159" s="204" t="s">
        <v>264</v>
      </c>
      <c r="C159" s="4" t="s">
        <v>473</v>
      </c>
      <c r="D159" s="17">
        <v>10566800</v>
      </c>
      <c r="E159" s="4"/>
      <c r="F159" s="9"/>
      <c r="G159" s="19">
        <f t="shared" si="6"/>
        <v>10566800</v>
      </c>
      <c r="H159" s="4"/>
      <c r="I159" s="46"/>
    </row>
    <row r="160" spans="1:9" s="20" customFormat="1" ht="47.25" hidden="1">
      <c r="A160" s="203"/>
      <c r="B160" s="204"/>
      <c r="C160" s="35" t="s">
        <v>3</v>
      </c>
      <c r="D160" s="37">
        <v>64035</v>
      </c>
      <c r="E160" s="4"/>
      <c r="F160" s="9"/>
      <c r="G160" s="19">
        <f t="shared" si="6"/>
        <v>64035</v>
      </c>
      <c r="H160" s="4"/>
      <c r="I160" s="46"/>
    </row>
    <row r="161" spans="1:9" s="20" customFormat="1" ht="47.25" hidden="1">
      <c r="A161" s="203" t="s">
        <v>149</v>
      </c>
      <c r="B161" s="204" t="s">
        <v>150</v>
      </c>
      <c r="C161" s="4"/>
      <c r="D161" s="17"/>
      <c r="E161" s="4" t="s">
        <v>474</v>
      </c>
      <c r="F161" s="19">
        <v>33149648</v>
      </c>
      <c r="G161" s="19">
        <f t="shared" si="6"/>
        <v>33149648</v>
      </c>
      <c r="H161" s="4"/>
      <c r="I161" s="46"/>
    </row>
    <row r="162" spans="1:9" s="20" customFormat="1" ht="47.25" customHeight="1" hidden="1">
      <c r="A162" s="203"/>
      <c r="B162" s="204"/>
      <c r="C162" s="4" t="s">
        <v>322</v>
      </c>
      <c r="D162" s="17">
        <v>0</v>
      </c>
      <c r="E162" s="4" t="s">
        <v>322</v>
      </c>
      <c r="F162" s="9"/>
      <c r="G162" s="19">
        <f t="shared" si="6"/>
        <v>0</v>
      </c>
      <c r="H162" s="4"/>
      <c r="I162" s="46"/>
    </row>
    <row r="163" spans="1:9" s="20" customFormat="1" ht="47.25" hidden="1">
      <c r="A163" s="203"/>
      <c r="B163" s="204"/>
      <c r="C163" s="4"/>
      <c r="D163" s="17"/>
      <c r="E163" s="35" t="s">
        <v>3</v>
      </c>
      <c r="F163" s="37">
        <v>66475</v>
      </c>
      <c r="G163" s="19">
        <f t="shared" si="6"/>
        <v>66475</v>
      </c>
      <c r="H163" s="4"/>
      <c r="I163" s="46"/>
    </row>
    <row r="164" spans="1:9" s="20" customFormat="1" ht="47.25" hidden="1">
      <c r="A164" s="18" t="s">
        <v>455</v>
      </c>
      <c r="B164" s="4" t="s">
        <v>456</v>
      </c>
      <c r="C164" s="4" t="s">
        <v>475</v>
      </c>
      <c r="D164" s="17">
        <v>449300</v>
      </c>
      <c r="E164" s="35"/>
      <c r="F164" s="37"/>
      <c r="G164" s="19">
        <f>D164+F164</f>
        <v>449300</v>
      </c>
      <c r="H164" s="4"/>
      <c r="I164" s="46"/>
    </row>
    <row r="165" spans="1:9" s="20" customFormat="1" ht="56.25" customHeight="1" hidden="1">
      <c r="A165" s="18" t="s">
        <v>307</v>
      </c>
      <c r="B165" s="4" t="s">
        <v>308</v>
      </c>
      <c r="C165" s="4"/>
      <c r="D165" s="17"/>
      <c r="E165" s="4" t="s">
        <v>475</v>
      </c>
      <c r="F165" s="19">
        <v>780803</v>
      </c>
      <c r="G165" s="19">
        <f t="shared" si="6"/>
        <v>780803</v>
      </c>
      <c r="H165" s="4"/>
      <c r="I165" s="46"/>
    </row>
    <row r="166" spans="1:9" s="20" customFormat="1" ht="51.75" customHeight="1" hidden="1">
      <c r="A166" s="203" t="s">
        <v>129</v>
      </c>
      <c r="B166" s="204" t="s">
        <v>151</v>
      </c>
      <c r="C166" s="4" t="s">
        <v>477</v>
      </c>
      <c r="D166" s="17">
        <v>82050000</v>
      </c>
      <c r="E166" s="4" t="s">
        <v>476</v>
      </c>
      <c r="F166" s="19">
        <v>672751</v>
      </c>
      <c r="G166" s="19">
        <f t="shared" si="6"/>
        <v>82722751</v>
      </c>
      <c r="H166" s="4"/>
      <c r="I166" s="46"/>
    </row>
    <row r="167" spans="1:9" s="20" customFormat="1" ht="47.25" hidden="1">
      <c r="A167" s="203"/>
      <c r="B167" s="204"/>
      <c r="C167" s="35" t="s">
        <v>3</v>
      </c>
      <c r="D167" s="37">
        <v>0</v>
      </c>
      <c r="E167" s="35" t="s">
        <v>3</v>
      </c>
      <c r="F167" s="37">
        <v>30000</v>
      </c>
      <c r="G167" s="19">
        <f t="shared" si="6"/>
        <v>30000</v>
      </c>
      <c r="H167" s="4"/>
      <c r="I167" s="46"/>
    </row>
    <row r="168" spans="1:9" s="20" customFormat="1" ht="47.25" hidden="1">
      <c r="A168" s="18" t="s">
        <v>339</v>
      </c>
      <c r="B168" s="4" t="s">
        <v>340</v>
      </c>
      <c r="C168" s="35"/>
      <c r="D168" s="37"/>
      <c r="E168" s="4" t="s">
        <v>322</v>
      </c>
      <c r="F168" s="36">
        <v>0</v>
      </c>
      <c r="G168" s="19">
        <f t="shared" si="6"/>
        <v>0</v>
      </c>
      <c r="H168" s="4"/>
      <c r="I168" s="46"/>
    </row>
    <row r="169" spans="1:9" s="20" customFormat="1" ht="51" customHeight="1" hidden="1">
      <c r="A169" s="203" t="s">
        <v>119</v>
      </c>
      <c r="B169" s="204" t="s">
        <v>120</v>
      </c>
      <c r="C169" s="4"/>
      <c r="D169" s="5"/>
      <c r="E169" s="4" t="s">
        <v>478</v>
      </c>
      <c r="F169" s="12">
        <v>31435500</v>
      </c>
      <c r="G169" s="19">
        <f t="shared" si="6"/>
        <v>31435500</v>
      </c>
      <c r="H169" s="4"/>
      <c r="I169" s="46"/>
    </row>
    <row r="170" spans="1:9" s="20" customFormat="1" ht="47.25" hidden="1">
      <c r="A170" s="203"/>
      <c r="B170" s="204"/>
      <c r="C170" s="4"/>
      <c r="D170" s="5"/>
      <c r="E170" s="35" t="s">
        <v>3</v>
      </c>
      <c r="F170" s="37">
        <v>17235</v>
      </c>
      <c r="G170" s="19">
        <f t="shared" si="6"/>
        <v>17235</v>
      </c>
      <c r="H170" s="4"/>
      <c r="I170" s="46"/>
    </row>
    <row r="171" spans="1:9" s="51" customFormat="1" ht="46.5" customHeight="1" hidden="1">
      <c r="A171" s="205" t="s">
        <v>74</v>
      </c>
      <c r="B171" s="201" t="s">
        <v>246</v>
      </c>
      <c r="C171" s="4"/>
      <c r="D171" s="5"/>
      <c r="E171" s="4" t="s">
        <v>322</v>
      </c>
      <c r="F171" s="19">
        <v>0</v>
      </c>
      <c r="G171" s="19">
        <f t="shared" si="6"/>
        <v>0</v>
      </c>
      <c r="H171" s="4"/>
      <c r="I171" s="52"/>
    </row>
    <row r="172" spans="1:9" s="51" customFormat="1" ht="69.75" customHeight="1" hidden="1">
      <c r="A172" s="212"/>
      <c r="B172" s="213"/>
      <c r="C172" s="4"/>
      <c r="D172" s="5"/>
      <c r="E172" s="4" t="s">
        <v>479</v>
      </c>
      <c r="F172" s="19">
        <v>1529939</v>
      </c>
      <c r="G172" s="19">
        <f t="shared" si="6"/>
        <v>1529939</v>
      </c>
      <c r="H172" s="4"/>
      <c r="I172" s="52"/>
    </row>
    <row r="173" spans="1:9" s="51" customFormat="1" ht="87" customHeight="1" hidden="1">
      <c r="A173" s="206"/>
      <c r="B173" s="202"/>
      <c r="C173" s="4"/>
      <c r="D173" s="5"/>
      <c r="E173" s="4" t="s">
        <v>457</v>
      </c>
      <c r="F173" s="19">
        <v>187691</v>
      </c>
      <c r="G173" s="19">
        <f t="shared" si="6"/>
        <v>187691</v>
      </c>
      <c r="H173" s="4"/>
      <c r="I173" s="52"/>
    </row>
    <row r="174" spans="1:9" s="20" customFormat="1" ht="69.75" customHeight="1" hidden="1">
      <c r="A174" s="18" t="s">
        <v>131</v>
      </c>
      <c r="B174" s="4" t="s">
        <v>132</v>
      </c>
      <c r="C174" s="4"/>
      <c r="D174" s="5"/>
      <c r="E174" s="4" t="s">
        <v>454</v>
      </c>
      <c r="F174" s="19">
        <v>31540500</v>
      </c>
      <c r="G174" s="19">
        <f t="shared" si="6"/>
        <v>31540500</v>
      </c>
      <c r="H174" s="4"/>
      <c r="I174" s="46"/>
    </row>
    <row r="175" spans="1:9" s="20" customFormat="1" ht="27.75" customHeight="1" hidden="1">
      <c r="A175" s="4">
        <v>180107</v>
      </c>
      <c r="B175" s="4" t="s">
        <v>260</v>
      </c>
      <c r="C175" s="4"/>
      <c r="D175" s="17"/>
      <c r="E175" s="4" t="s">
        <v>278</v>
      </c>
      <c r="F175" s="19">
        <v>0</v>
      </c>
      <c r="G175" s="19">
        <f t="shared" si="6"/>
        <v>0</v>
      </c>
      <c r="H175" s="4"/>
      <c r="I175" s="46"/>
    </row>
    <row r="176" spans="1:9" s="20" customFormat="1" ht="63" customHeight="1" hidden="1">
      <c r="A176" s="204">
        <v>180409</v>
      </c>
      <c r="B176" s="204" t="s">
        <v>271</v>
      </c>
      <c r="C176" s="4"/>
      <c r="D176" s="17"/>
      <c r="E176" s="4" t="s">
        <v>480</v>
      </c>
      <c r="F176" s="19">
        <v>6226733</v>
      </c>
      <c r="G176" s="19">
        <f t="shared" si="6"/>
        <v>6226733</v>
      </c>
      <c r="H176" s="4"/>
      <c r="I176" s="46"/>
    </row>
    <row r="177" spans="1:9" s="20" customFormat="1" ht="63" hidden="1">
      <c r="A177" s="204"/>
      <c r="B177" s="204"/>
      <c r="C177" s="4"/>
      <c r="D177" s="17"/>
      <c r="E177" s="4" t="s">
        <v>448</v>
      </c>
      <c r="F177" s="19">
        <v>2688100</v>
      </c>
      <c r="G177" s="19">
        <f t="shared" si="6"/>
        <v>2688100</v>
      </c>
      <c r="H177" s="4"/>
      <c r="I177" s="46"/>
    </row>
    <row r="178" spans="1:9" s="20" customFormat="1" ht="31.5" hidden="1">
      <c r="A178" s="18" t="s">
        <v>64</v>
      </c>
      <c r="B178" s="4" t="s">
        <v>141</v>
      </c>
      <c r="C178" s="4"/>
      <c r="D178" s="5"/>
      <c r="E178" s="4" t="s">
        <v>402</v>
      </c>
      <c r="F178" s="19">
        <v>2250578</v>
      </c>
      <c r="G178" s="19">
        <f t="shared" si="6"/>
        <v>2250578</v>
      </c>
      <c r="H178" s="4"/>
      <c r="I178" s="46"/>
    </row>
    <row r="179" spans="1:9" s="20" customFormat="1" ht="39.75" customHeight="1" hidden="1">
      <c r="A179" s="205" t="s">
        <v>112</v>
      </c>
      <c r="B179" s="201" t="s">
        <v>127</v>
      </c>
      <c r="C179" s="4" t="s">
        <v>481</v>
      </c>
      <c r="D179" s="17">
        <v>5627420</v>
      </c>
      <c r="E179" s="4" t="s">
        <v>481</v>
      </c>
      <c r="F179" s="12">
        <v>1287772</v>
      </c>
      <c r="G179" s="19">
        <f>D179+F179</f>
        <v>6915192</v>
      </c>
      <c r="H179" s="4"/>
      <c r="I179" s="46"/>
    </row>
    <row r="180" spans="1:9" s="20" customFormat="1" ht="45.75" customHeight="1" hidden="1">
      <c r="A180" s="206"/>
      <c r="B180" s="202"/>
      <c r="C180" s="4" t="s">
        <v>394</v>
      </c>
      <c r="D180" s="17">
        <v>655808</v>
      </c>
      <c r="E180" s="4"/>
      <c r="F180" s="12"/>
      <c r="G180" s="19">
        <f>D180+F180</f>
        <v>655808</v>
      </c>
      <c r="H180" s="4"/>
      <c r="I180" s="46"/>
    </row>
    <row r="181" spans="1:9" s="20" customFormat="1" ht="38.25" hidden="1">
      <c r="A181" s="18" t="s">
        <v>74</v>
      </c>
      <c r="B181" s="29" t="s">
        <v>246</v>
      </c>
      <c r="C181" s="4"/>
      <c r="D181" s="5"/>
      <c r="E181" s="4" t="s">
        <v>256</v>
      </c>
      <c r="F181" s="12">
        <v>0</v>
      </c>
      <c r="G181" s="9">
        <v>0</v>
      </c>
      <c r="H181" s="4"/>
      <c r="I181" s="46"/>
    </row>
    <row r="182" spans="1:9" s="20" customFormat="1" ht="70.5" customHeight="1" hidden="1">
      <c r="A182" s="22" t="s">
        <v>270</v>
      </c>
      <c r="B182" s="23" t="s">
        <v>269</v>
      </c>
      <c r="C182" s="23"/>
      <c r="D182" s="24">
        <v>0</v>
      </c>
      <c r="E182" s="23"/>
      <c r="F182" s="30"/>
      <c r="G182" s="27">
        <v>0</v>
      </c>
      <c r="H182" s="4"/>
      <c r="I182" s="46"/>
    </row>
    <row r="183" spans="1:9" s="20" customFormat="1" ht="36" customHeight="1" hidden="1">
      <c r="A183" s="18" t="s">
        <v>121</v>
      </c>
      <c r="B183" s="4" t="s">
        <v>128</v>
      </c>
      <c r="C183" s="4" t="s">
        <v>153</v>
      </c>
      <c r="D183" s="17">
        <v>0</v>
      </c>
      <c r="E183" s="4"/>
      <c r="F183" s="12"/>
      <c r="G183" s="9">
        <v>0</v>
      </c>
      <c r="H183" s="4"/>
      <c r="I183" s="46"/>
    </row>
    <row r="184" spans="1:9" s="20" customFormat="1" ht="47.25" customHeight="1" hidden="1">
      <c r="A184" s="18" t="s">
        <v>129</v>
      </c>
      <c r="B184" s="4" t="s">
        <v>151</v>
      </c>
      <c r="C184" s="4" t="s">
        <v>244</v>
      </c>
      <c r="D184" s="17">
        <v>0</v>
      </c>
      <c r="E184" s="4"/>
      <c r="F184" s="12"/>
      <c r="G184" s="9">
        <v>0</v>
      </c>
      <c r="H184" s="4"/>
      <c r="I184" s="46"/>
    </row>
    <row r="185" spans="1:9" s="20" customFormat="1" ht="47.25" hidden="1">
      <c r="A185" s="22" t="s">
        <v>188</v>
      </c>
      <c r="B185" s="23" t="s">
        <v>88</v>
      </c>
      <c r="C185" s="4"/>
      <c r="D185" s="24">
        <f>D187</f>
        <v>40159</v>
      </c>
      <c r="E185" s="5"/>
      <c r="F185" s="24">
        <f>F186</f>
        <v>61915</v>
      </c>
      <c r="G185" s="28">
        <f aca="true" t="shared" si="7" ref="G185:G192">D185+F185</f>
        <v>102074</v>
      </c>
      <c r="H185" s="71"/>
      <c r="I185" s="46"/>
    </row>
    <row r="186" spans="1:9" s="20" customFormat="1" ht="48" customHeight="1" hidden="1">
      <c r="A186" s="18" t="s">
        <v>207</v>
      </c>
      <c r="B186" s="4" t="s">
        <v>208</v>
      </c>
      <c r="C186" s="4"/>
      <c r="D186" s="17"/>
      <c r="E186" s="4" t="s">
        <v>450</v>
      </c>
      <c r="F186" s="19">
        <v>61915</v>
      </c>
      <c r="G186" s="19">
        <f t="shared" si="7"/>
        <v>61915</v>
      </c>
      <c r="H186" s="4"/>
      <c r="I186" s="46"/>
    </row>
    <row r="187" spans="1:9" s="20" customFormat="1" ht="63" hidden="1">
      <c r="A187" s="18" t="s">
        <v>112</v>
      </c>
      <c r="B187" s="4" t="s">
        <v>127</v>
      </c>
      <c r="C187" s="4" t="s">
        <v>420</v>
      </c>
      <c r="D187" s="17">
        <v>40159</v>
      </c>
      <c r="E187" s="4"/>
      <c r="F187" s="9"/>
      <c r="G187" s="19">
        <f t="shared" si="7"/>
        <v>40159</v>
      </c>
      <c r="H187" s="4"/>
      <c r="I187" s="46"/>
    </row>
    <row r="188" spans="1:9" s="20" customFormat="1" ht="47.25" hidden="1">
      <c r="A188" s="22" t="s">
        <v>192</v>
      </c>
      <c r="B188" s="23" t="s">
        <v>90</v>
      </c>
      <c r="C188" s="4"/>
      <c r="D188" s="24">
        <f>D189+D191+D192+D193+D190</f>
        <v>2934703</v>
      </c>
      <c r="E188" s="5"/>
      <c r="F188" s="28">
        <f>F189+F193+F191+F190</f>
        <v>1664951</v>
      </c>
      <c r="G188" s="28">
        <f>D188+F188</f>
        <v>4599654</v>
      </c>
      <c r="H188" s="4"/>
      <c r="I188" s="46"/>
    </row>
    <row r="189" spans="1:9" s="20" customFormat="1" ht="53.25" customHeight="1" hidden="1">
      <c r="A189" s="18" t="s">
        <v>207</v>
      </c>
      <c r="B189" s="4" t="s">
        <v>208</v>
      </c>
      <c r="C189" s="4"/>
      <c r="D189" s="17"/>
      <c r="E189" s="4" t="s">
        <v>450</v>
      </c>
      <c r="F189" s="19">
        <v>14000</v>
      </c>
      <c r="G189" s="19">
        <f t="shared" si="7"/>
        <v>14000</v>
      </c>
      <c r="H189" s="4"/>
      <c r="I189" s="46"/>
    </row>
    <row r="190" spans="1:9" s="20" customFormat="1" ht="63" customHeight="1" hidden="1">
      <c r="A190" s="18" t="s">
        <v>444</v>
      </c>
      <c r="B190" s="4" t="s">
        <v>449</v>
      </c>
      <c r="C190" s="4" t="s">
        <v>1</v>
      </c>
      <c r="D190" s="17">
        <v>24055</v>
      </c>
      <c r="E190" s="4" t="s">
        <v>1</v>
      </c>
      <c r="F190" s="9">
        <v>1550464</v>
      </c>
      <c r="G190" s="19">
        <f>D190+F190</f>
        <v>1574519</v>
      </c>
      <c r="H190" s="4"/>
      <c r="I190" s="46"/>
    </row>
    <row r="191" spans="1:9" s="20" customFormat="1" ht="47.25" hidden="1">
      <c r="A191" s="210">
        <v>250404</v>
      </c>
      <c r="B191" s="210" t="s">
        <v>127</v>
      </c>
      <c r="C191" s="4"/>
      <c r="D191" s="21"/>
      <c r="E191" s="4" t="s">
        <v>7</v>
      </c>
      <c r="F191" s="12">
        <v>100487</v>
      </c>
      <c r="G191" s="19">
        <f t="shared" si="7"/>
        <v>100487</v>
      </c>
      <c r="H191" s="4"/>
      <c r="I191" s="46"/>
    </row>
    <row r="192" spans="1:9" s="20" customFormat="1" ht="51" customHeight="1" hidden="1">
      <c r="A192" s="210"/>
      <c r="B192" s="210"/>
      <c r="C192" s="4" t="s">
        <v>0</v>
      </c>
      <c r="D192" s="21">
        <v>2910648</v>
      </c>
      <c r="E192" s="4"/>
      <c r="F192" s="31"/>
      <c r="G192" s="19">
        <f t="shared" si="7"/>
        <v>2910648</v>
      </c>
      <c r="H192" s="4"/>
      <c r="I192" s="46"/>
    </row>
    <row r="193" spans="1:9" s="20" customFormat="1" ht="66" customHeight="1" hidden="1">
      <c r="A193" s="211"/>
      <c r="B193" s="210"/>
      <c r="D193" s="21"/>
      <c r="E193" s="4"/>
      <c r="F193" s="9"/>
      <c r="G193" s="19">
        <f>D193+F193</f>
        <v>0</v>
      </c>
      <c r="H193" s="4"/>
      <c r="I193" s="46"/>
    </row>
    <row r="194" spans="1:9" s="20" customFormat="1" ht="31.5" hidden="1">
      <c r="A194" s="22">
        <v>50</v>
      </c>
      <c r="B194" s="23" t="s">
        <v>228</v>
      </c>
      <c r="C194" s="4"/>
      <c r="D194" s="24">
        <v>0</v>
      </c>
      <c r="E194" s="5"/>
      <c r="F194" s="27">
        <v>0</v>
      </c>
      <c r="G194" s="27">
        <v>0</v>
      </c>
      <c r="H194" s="4"/>
      <c r="I194" s="46"/>
    </row>
    <row r="195" spans="1:9" s="20" customFormat="1" ht="48.75" customHeight="1" hidden="1">
      <c r="A195" s="18" t="s">
        <v>207</v>
      </c>
      <c r="B195" s="4" t="s">
        <v>208</v>
      </c>
      <c r="C195" s="4" t="s">
        <v>220</v>
      </c>
      <c r="D195" s="21"/>
      <c r="E195" s="4"/>
      <c r="F195" s="9"/>
      <c r="G195" s="9">
        <v>0</v>
      </c>
      <c r="H195" s="4"/>
      <c r="I195" s="46"/>
    </row>
    <row r="196" spans="1:9" s="20" customFormat="1" ht="47.25" hidden="1">
      <c r="A196" s="22" t="s">
        <v>196</v>
      </c>
      <c r="B196" s="23" t="s">
        <v>94</v>
      </c>
      <c r="C196" s="23"/>
      <c r="D196" s="24">
        <v>0</v>
      </c>
      <c r="E196" s="32"/>
      <c r="F196" s="24">
        <f>F197+F198</f>
        <v>41720</v>
      </c>
      <c r="G196" s="24">
        <f aca="true" t="shared" si="8" ref="G196:G203">D196+F196</f>
        <v>41720</v>
      </c>
      <c r="H196" s="71"/>
      <c r="I196" s="46"/>
    </row>
    <row r="197" spans="1:9" s="20" customFormat="1" ht="31.5" hidden="1">
      <c r="A197" s="18" t="s">
        <v>207</v>
      </c>
      <c r="B197" s="4" t="s">
        <v>208</v>
      </c>
      <c r="C197" s="4"/>
      <c r="D197" s="17"/>
      <c r="E197" s="4" t="s">
        <v>450</v>
      </c>
      <c r="F197" s="17">
        <v>41720</v>
      </c>
      <c r="G197" s="17">
        <f t="shared" si="8"/>
        <v>41720</v>
      </c>
      <c r="H197" s="4"/>
      <c r="I197" s="46"/>
    </row>
    <row r="198" spans="1:9" s="20" customFormat="1" ht="47.25" hidden="1">
      <c r="A198" s="18" t="s">
        <v>76</v>
      </c>
      <c r="B198" s="4" t="s">
        <v>77</v>
      </c>
      <c r="C198" s="4"/>
      <c r="D198" s="17"/>
      <c r="E198" s="70" t="s">
        <v>353</v>
      </c>
      <c r="F198" s="19">
        <v>0</v>
      </c>
      <c r="G198" s="17">
        <f t="shared" si="8"/>
        <v>0</v>
      </c>
      <c r="H198" s="4"/>
      <c r="I198" s="46"/>
    </row>
    <row r="199" spans="1:9" s="20" customFormat="1" ht="53.25" customHeight="1" hidden="1">
      <c r="A199" s="22" t="s">
        <v>193</v>
      </c>
      <c r="B199" s="23" t="s">
        <v>91</v>
      </c>
      <c r="C199" s="4"/>
      <c r="D199" s="24">
        <f>D203+D200+D201</f>
        <v>0</v>
      </c>
      <c r="E199" s="5"/>
      <c r="F199" s="24">
        <f>F201+F202+F200</f>
        <v>14491369</v>
      </c>
      <c r="G199" s="24">
        <f t="shared" si="8"/>
        <v>14491369</v>
      </c>
      <c r="H199" s="71"/>
      <c r="I199" s="46"/>
    </row>
    <row r="200" spans="1:9" s="20" customFormat="1" ht="33" customHeight="1" hidden="1">
      <c r="A200" s="18" t="s">
        <v>207</v>
      </c>
      <c r="B200" s="4" t="s">
        <v>208</v>
      </c>
      <c r="C200" s="4"/>
      <c r="D200" s="17"/>
      <c r="E200" s="4" t="s">
        <v>450</v>
      </c>
      <c r="F200" s="19">
        <v>21000</v>
      </c>
      <c r="G200" s="17">
        <f>D200+F200</f>
        <v>21000</v>
      </c>
      <c r="H200" s="4"/>
      <c r="I200" s="46"/>
    </row>
    <row r="201" spans="1:9" s="20" customFormat="1" ht="32.25" customHeight="1" hidden="1">
      <c r="A201" s="4">
        <v>240601</v>
      </c>
      <c r="B201" s="4" t="s">
        <v>141</v>
      </c>
      <c r="C201" s="4"/>
      <c r="D201" s="5"/>
      <c r="E201" s="4" t="s">
        <v>402</v>
      </c>
      <c r="F201" s="19">
        <v>14470369</v>
      </c>
      <c r="G201" s="17">
        <f t="shared" si="8"/>
        <v>14470369</v>
      </c>
      <c r="H201" s="4"/>
      <c r="I201" s="46"/>
    </row>
    <row r="202" spans="1:9" s="20" customFormat="1" ht="72" customHeight="1" hidden="1">
      <c r="A202" s="4">
        <v>240900</v>
      </c>
      <c r="B202" s="4" t="s">
        <v>268</v>
      </c>
      <c r="C202" s="4"/>
      <c r="D202" s="5"/>
      <c r="E202" s="70" t="s">
        <v>409</v>
      </c>
      <c r="F202" s="19">
        <v>0</v>
      </c>
      <c r="G202" s="17">
        <f t="shared" si="8"/>
        <v>0</v>
      </c>
      <c r="H202" s="4"/>
      <c r="I202" s="46"/>
    </row>
    <row r="203" spans="1:9" s="20" customFormat="1" ht="54" customHeight="1" hidden="1">
      <c r="A203" s="4">
        <v>250404</v>
      </c>
      <c r="B203" s="4" t="s">
        <v>257</v>
      </c>
      <c r="C203" s="4" t="s">
        <v>360</v>
      </c>
      <c r="D203" s="17">
        <v>0</v>
      </c>
      <c r="E203" s="4"/>
      <c r="F203" s="19"/>
      <c r="G203" s="17">
        <f t="shared" si="8"/>
        <v>0</v>
      </c>
      <c r="H203" s="4"/>
      <c r="I203" s="46"/>
    </row>
    <row r="204" spans="1:9" s="20" customFormat="1" ht="47.25" hidden="1">
      <c r="A204" s="22" t="s">
        <v>191</v>
      </c>
      <c r="B204" s="23" t="s">
        <v>92</v>
      </c>
      <c r="C204" s="4"/>
      <c r="D204" s="24">
        <f>D206+D207+D213+D215+D214</f>
        <v>14847723</v>
      </c>
      <c r="E204" s="5"/>
      <c r="F204" s="24">
        <f>F205+F206+F208+F209+F210+F211+F213</f>
        <v>3804223</v>
      </c>
      <c r="G204" s="24">
        <f>D204+F204</f>
        <v>18651946</v>
      </c>
      <c r="H204" s="71"/>
      <c r="I204" s="46"/>
    </row>
    <row r="205" spans="1:9" s="20" customFormat="1" ht="48" customHeight="1" hidden="1">
      <c r="A205" s="18" t="s">
        <v>207</v>
      </c>
      <c r="B205" s="4" t="s">
        <v>208</v>
      </c>
      <c r="C205" s="4"/>
      <c r="D205" s="17"/>
      <c r="E205" s="4" t="s">
        <v>450</v>
      </c>
      <c r="F205" s="9">
        <v>7000</v>
      </c>
      <c r="G205" s="17">
        <f>D205+F205</f>
        <v>7000</v>
      </c>
      <c r="H205" s="4"/>
      <c r="I205" s="46"/>
    </row>
    <row r="206" spans="1:9" s="20" customFormat="1" ht="84.75" customHeight="1" hidden="1">
      <c r="A206" s="18" t="s">
        <v>66</v>
      </c>
      <c r="B206" s="4" t="s">
        <v>67</v>
      </c>
      <c r="C206" s="4" t="s">
        <v>442</v>
      </c>
      <c r="D206" s="17">
        <v>2300000</v>
      </c>
      <c r="E206" s="4" t="s">
        <v>442</v>
      </c>
      <c r="F206" s="19">
        <v>296214</v>
      </c>
      <c r="G206" s="17">
        <f>D206+F206</f>
        <v>2596214</v>
      </c>
      <c r="H206" s="4"/>
      <c r="I206" s="46"/>
    </row>
    <row r="207" spans="1:9" s="20" customFormat="1" ht="72.75" customHeight="1" hidden="1">
      <c r="A207" s="18" t="s">
        <v>117</v>
      </c>
      <c r="B207" s="4" t="s">
        <v>118</v>
      </c>
      <c r="C207" s="4" t="s">
        <v>458</v>
      </c>
      <c r="D207" s="17">
        <v>10000000</v>
      </c>
      <c r="E207" s="4"/>
      <c r="F207" s="9"/>
      <c r="G207" s="17">
        <f>D207+F207</f>
        <v>10000000</v>
      </c>
      <c r="H207" s="4"/>
      <c r="I207" s="46"/>
    </row>
    <row r="208" spans="1:9" s="20" customFormat="1" ht="78.75" hidden="1">
      <c r="A208" s="205" t="s">
        <v>119</v>
      </c>
      <c r="B208" s="201" t="s">
        <v>120</v>
      </c>
      <c r="C208" s="4"/>
      <c r="D208" s="17"/>
      <c r="E208" s="4" t="s">
        <v>458</v>
      </c>
      <c r="F208" s="19">
        <v>1355142</v>
      </c>
      <c r="G208" s="17">
        <f aca="true" t="shared" si="9" ref="G208:G215">D208+F208</f>
        <v>1355142</v>
      </c>
      <c r="H208" s="4"/>
      <c r="I208" s="46"/>
    </row>
    <row r="209" spans="1:9" s="20" customFormat="1" ht="47.25" hidden="1">
      <c r="A209" s="206"/>
      <c r="B209" s="202"/>
      <c r="C209" s="4"/>
      <c r="D209" s="17"/>
      <c r="E209" s="4" t="s">
        <v>412</v>
      </c>
      <c r="F209" s="19">
        <v>25880</v>
      </c>
      <c r="G209" s="17">
        <f t="shared" si="9"/>
        <v>25880</v>
      </c>
      <c r="H209" s="4"/>
      <c r="I209" s="46"/>
    </row>
    <row r="210" spans="1:9" s="20" customFormat="1" ht="62.25" customHeight="1" hidden="1">
      <c r="A210" s="203" t="s">
        <v>133</v>
      </c>
      <c r="B210" s="204" t="s">
        <v>271</v>
      </c>
      <c r="C210" s="204"/>
      <c r="D210" s="17"/>
      <c r="E210" s="4" t="s">
        <v>458</v>
      </c>
      <c r="F210" s="19">
        <v>66000</v>
      </c>
      <c r="G210" s="17">
        <f t="shared" si="9"/>
        <v>66000</v>
      </c>
      <c r="H210" s="4"/>
      <c r="I210" s="46"/>
    </row>
    <row r="211" spans="1:9" s="20" customFormat="1" ht="63" hidden="1">
      <c r="A211" s="203"/>
      <c r="B211" s="204"/>
      <c r="C211" s="204"/>
      <c r="D211" s="209"/>
      <c r="E211" s="4" t="s">
        <v>459</v>
      </c>
      <c r="F211" s="19">
        <v>1573041</v>
      </c>
      <c r="G211" s="17">
        <f t="shared" si="9"/>
        <v>1573041</v>
      </c>
      <c r="H211" s="4"/>
      <c r="I211" s="46"/>
    </row>
    <row r="212" spans="1:9" s="20" customFormat="1" ht="47.25" hidden="1">
      <c r="A212" s="203"/>
      <c r="B212" s="204"/>
      <c r="C212" s="204"/>
      <c r="D212" s="209"/>
      <c r="E212" s="4" t="s">
        <v>356</v>
      </c>
      <c r="F212" s="9">
        <v>0</v>
      </c>
      <c r="G212" s="17">
        <f t="shared" si="9"/>
        <v>0</v>
      </c>
      <c r="H212" s="4"/>
      <c r="I212" s="46"/>
    </row>
    <row r="213" spans="1:9" s="20" customFormat="1" ht="69" customHeight="1" hidden="1">
      <c r="A213" s="18" t="s">
        <v>261</v>
      </c>
      <c r="B213" s="4" t="s">
        <v>262</v>
      </c>
      <c r="C213" s="4" t="s">
        <v>458</v>
      </c>
      <c r="D213" s="17">
        <v>122723</v>
      </c>
      <c r="E213" s="4" t="s">
        <v>459</v>
      </c>
      <c r="F213" s="19">
        <v>480946</v>
      </c>
      <c r="G213" s="17">
        <f t="shared" si="9"/>
        <v>603669</v>
      </c>
      <c r="H213" s="4"/>
      <c r="I213" s="46"/>
    </row>
    <row r="214" spans="1:9" s="20" customFormat="1" ht="63" hidden="1">
      <c r="A214" s="203" t="s">
        <v>112</v>
      </c>
      <c r="B214" s="204" t="s">
        <v>127</v>
      </c>
      <c r="C214" s="4" t="s">
        <v>459</v>
      </c>
      <c r="D214" s="17">
        <v>2425000</v>
      </c>
      <c r="E214" s="4"/>
      <c r="F214" s="9"/>
      <c r="G214" s="17">
        <f t="shared" si="9"/>
        <v>2425000</v>
      </c>
      <c r="H214" s="4"/>
      <c r="I214" s="46"/>
    </row>
    <row r="215" spans="1:9" s="20" customFormat="1" ht="63" hidden="1">
      <c r="A215" s="203"/>
      <c r="B215" s="204"/>
      <c r="C215" s="4" t="s">
        <v>358</v>
      </c>
      <c r="D215" s="17">
        <v>0</v>
      </c>
      <c r="E215" s="4" t="s">
        <v>358</v>
      </c>
      <c r="F215" s="19">
        <v>0</v>
      </c>
      <c r="G215" s="17">
        <f t="shared" si="9"/>
        <v>0</v>
      </c>
      <c r="H215" s="4"/>
      <c r="I215" s="46"/>
    </row>
    <row r="216" spans="1:9" s="20" customFormat="1" ht="78.75" customHeight="1">
      <c r="A216" s="22" t="s">
        <v>186</v>
      </c>
      <c r="B216" s="23" t="s">
        <v>87</v>
      </c>
      <c r="C216" s="4"/>
      <c r="D216" s="24">
        <f>D218+D219+D220</f>
        <v>6262527</v>
      </c>
      <c r="E216" s="5"/>
      <c r="F216" s="28">
        <f>F218+F219+F217</f>
        <v>6501142</v>
      </c>
      <c r="G216" s="28">
        <f>D216+F216</f>
        <v>12763669</v>
      </c>
      <c r="H216" s="71"/>
      <c r="I216" s="46"/>
    </row>
    <row r="217" spans="1:9" s="20" customFormat="1" ht="42" customHeight="1" hidden="1">
      <c r="A217" s="18" t="s">
        <v>207</v>
      </c>
      <c r="B217" s="4" t="s">
        <v>208</v>
      </c>
      <c r="C217" s="4"/>
      <c r="D217" s="17"/>
      <c r="E217" s="4" t="s">
        <v>450</v>
      </c>
      <c r="F217" s="12">
        <v>7000</v>
      </c>
      <c r="G217" s="19">
        <f aca="true" t="shared" si="10" ref="G217:G233">D217+F217</f>
        <v>7000</v>
      </c>
      <c r="H217" s="4"/>
      <c r="I217" s="46"/>
    </row>
    <row r="218" spans="1:9" s="20" customFormat="1" ht="69.75" customHeight="1">
      <c r="A218" s="18" t="s">
        <v>123</v>
      </c>
      <c r="B218" s="4" t="s">
        <v>124</v>
      </c>
      <c r="C218" s="4" t="s">
        <v>460</v>
      </c>
      <c r="D218" s="17">
        <v>3201442</v>
      </c>
      <c r="E218" s="4" t="s">
        <v>460</v>
      </c>
      <c r="F218" s="12">
        <v>6203691</v>
      </c>
      <c r="G218" s="19">
        <f>D218+F218</f>
        <v>9405133</v>
      </c>
      <c r="H218" s="71">
        <v>82552</v>
      </c>
      <c r="I218" s="46"/>
    </row>
    <row r="219" spans="1:9" s="20" customFormat="1" ht="63">
      <c r="A219" s="203" t="s">
        <v>125</v>
      </c>
      <c r="B219" s="204" t="s">
        <v>126</v>
      </c>
      <c r="C219" s="4" t="s">
        <v>460</v>
      </c>
      <c r="D219" s="17">
        <v>3059895</v>
      </c>
      <c r="E219" s="4" t="s">
        <v>460</v>
      </c>
      <c r="F219" s="12">
        <v>290451</v>
      </c>
      <c r="G219" s="19">
        <f>D219+F219</f>
        <v>3350346</v>
      </c>
      <c r="H219" s="71">
        <v>64182</v>
      </c>
      <c r="I219" s="46"/>
    </row>
    <row r="220" spans="1:9" s="20" customFormat="1" ht="68.25" customHeight="1" hidden="1">
      <c r="A220" s="203"/>
      <c r="B220" s="204"/>
      <c r="C220" s="4" t="s">
        <v>420</v>
      </c>
      <c r="D220" s="17">
        <v>1190</v>
      </c>
      <c r="E220" s="4"/>
      <c r="F220" s="12"/>
      <c r="G220" s="19">
        <f t="shared" si="10"/>
        <v>1190</v>
      </c>
      <c r="H220" s="4"/>
      <c r="I220" s="46"/>
    </row>
    <row r="221" spans="1:9" s="20" customFormat="1" ht="47.25" hidden="1">
      <c r="A221" s="22" t="s">
        <v>195</v>
      </c>
      <c r="B221" s="23" t="s">
        <v>93</v>
      </c>
      <c r="C221" s="4"/>
      <c r="D221" s="24">
        <f>D226</f>
        <v>0</v>
      </c>
      <c r="E221" s="5"/>
      <c r="F221" s="24">
        <f>F222+F223+F224</f>
        <v>7046384</v>
      </c>
      <c r="G221" s="24">
        <f>D221+F221</f>
        <v>7046384</v>
      </c>
      <c r="H221" s="71"/>
      <c r="I221" s="46"/>
    </row>
    <row r="222" spans="1:9" s="20" customFormat="1" ht="31.5" hidden="1">
      <c r="A222" s="18" t="s">
        <v>207</v>
      </c>
      <c r="B222" s="4" t="s">
        <v>208</v>
      </c>
      <c r="C222" s="4"/>
      <c r="D222" s="17"/>
      <c r="E222" s="4" t="s">
        <v>450</v>
      </c>
      <c r="F222" s="17">
        <v>35000</v>
      </c>
      <c r="G222" s="17">
        <f t="shared" si="10"/>
        <v>35000</v>
      </c>
      <c r="H222" s="4"/>
      <c r="I222" s="46"/>
    </row>
    <row r="223" spans="1:9" s="20" customFormat="1" ht="47.25" hidden="1">
      <c r="A223" s="18" t="s">
        <v>119</v>
      </c>
      <c r="B223" s="4" t="s">
        <v>120</v>
      </c>
      <c r="C223" s="4"/>
      <c r="D223" s="5"/>
      <c r="E223" s="4" t="s">
        <v>461</v>
      </c>
      <c r="F223" s="12">
        <v>3511384</v>
      </c>
      <c r="G223" s="17">
        <f t="shared" si="10"/>
        <v>3511384</v>
      </c>
      <c r="H223" s="4"/>
      <c r="I223" s="46"/>
    </row>
    <row r="224" spans="1:9" s="20" customFormat="1" ht="79.5" customHeight="1" hidden="1">
      <c r="A224" s="18" t="s">
        <v>134</v>
      </c>
      <c r="B224" s="4" t="s">
        <v>135</v>
      </c>
      <c r="C224" s="4"/>
      <c r="D224" s="5"/>
      <c r="E224" s="4" t="s">
        <v>461</v>
      </c>
      <c r="F224" s="19">
        <v>3500000</v>
      </c>
      <c r="G224" s="17">
        <f t="shared" si="10"/>
        <v>3500000</v>
      </c>
      <c r="H224" s="4"/>
      <c r="I224" s="46"/>
    </row>
    <row r="225" spans="1:9" s="20" customFormat="1" ht="78.75" hidden="1">
      <c r="A225" s="18" t="s">
        <v>123</v>
      </c>
      <c r="B225" s="4" t="s">
        <v>266</v>
      </c>
      <c r="C225" s="4"/>
      <c r="D225" s="17"/>
      <c r="E225" s="4" t="s">
        <v>323</v>
      </c>
      <c r="F225" s="19">
        <v>0</v>
      </c>
      <c r="G225" s="24">
        <f t="shared" si="10"/>
        <v>0</v>
      </c>
      <c r="H225" s="4"/>
      <c r="I225" s="46"/>
    </row>
    <row r="226" spans="1:9" s="20" customFormat="1" ht="53.25" customHeight="1" hidden="1">
      <c r="A226" s="18" t="s">
        <v>112</v>
      </c>
      <c r="B226" s="4" t="s">
        <v>127</v>
      </c>
      <c r="C226" s="4" t="s">
        <v>303</v>
      </c>
      <c r="D226" s="17">
        <v>0</v>
      </c>
      <c r="E226" s="4"/>
      <c r="F226" s="19"/>
      <c r="G226" s="17">
        <f t="shared" si="10"/>
        <v>0</v>
      </c>
      <c r="H226" s="4"/>
      <c r="I226" s="46"/>
    </row>
    <row r="227" spans="1:9" s="20" customFormat="1" ht="46.5" customHeight="1" hidden="1">
      <c r="A227" s="22" t="s">
        <v>194</v>
      </c>
      <c r="B227" s="23" t="s">
        <v>72</v>
      </c>
      <c r="C227" s="4"/>
      <c r="D227" s="24">
        <f>D229+D230+D232</f>
        <v>35602</v>
      </c>
      <c r="E227" s="5"/>
      <c r="F227" s="28">
        <f>F229</f>
        <v>70000</v>
      </c>
      <c r="G227" s="28">
        <f t="shared" si="10"/>
        <v>105602</v>
      </c>
      <c r="H227" s="4"/>
      <c r="I227" s="46"/>
    </row>
    <row r="228" spans="1:9" s="20" customFormat="1" ht="46.5" customHeight="1" hidden="1">
      <c r="A228" s="26" t="s">
        <v>207</v>
      </c>
      <c r="B228" s="4" t="s">
        <v>208</v>
      </c>
      <c r="C228" s="4" t="s">
        <v>227</v>
      </c>
      <c r="D228" s="21"/>
      <c r="E228" s="5"/>
      <c r="F228" s="19"/>
      <c r="G228" s="28">
        <f t="shared" si="10"/>
        <v>0</v>
      </c>
      <c r="H228" s="4"/>
      <c r="I228" s="46"/>
    </row>
    <row r="229" spans="1:9" s="20" customFormat="1" ht="70.5" customHeight="1" hidden="1">
      <c r="A229" s="18" t="s">
        <v>207</v>
      </c>
      <c r="B229" s="4" t="s">
        <v>208</v>
      </c>
      <c r="C229" s="4" t="s">
        <v>420</v>
      </c>
      <c r="D229" s="21">
        <v>2602</v>
      </c>
      <c r="E229" s="4" t="s">
        <v>450</v>
      </c>
      <c r="F229" s="19">
        <v>70000</v>
      </c>
      <c r="G229" s="19">
        <f>D229+F229</f>
        <v>72602</v>
      </c>
      <c r="H229" s="4"/>
      <c r="I229" s="46"/>
    </row>
    <row r="230" spans="1:9" s="20" customFormat="1" ht="15.75" hidden="1">
      <c r="A230" s="26">
        <v>230000</v>
      </c>
      <c r="B230" s="4" t="s">
        <v>236</v>
      </c>
      <c r="C230" s="204" t="s">
        <v>401</v>
      </c>
      <c r="D230" s="21">
        <v>0</v>
      </c>
      <c r="E230" s="5"/>
      <c r="F230" s="27"/>
      <c r="G230" s="19">
        <f t="shared" si="10"/>
        <v>0</v>
      </c>
      <c r="H230" s="4"/>
      <c r="I230" s="46"/>
    </row>
    <row r="231" spans="1:9" s="20" customFormat="1" ht="48" customHeight="1" hidden="1">
      <c r="A231" s="26">
        <v>210105</v>
      </c>
      <c r="B231" s="4"/>
      <c r="C231" s="204"/>
      <c r="D231" s="21">
        <v>0</v>
      </c>
      <c r="E231" s="5"/>
      <c r="F231" s="19">
        <v>0</v>
      </c>
      <c r="G231" s="19">
        <f t="shared" si="10"/>
        <v>0</v>
      </c>
      <c r="H231" s="4"/>
      <c r="I231" s="46"/>
    </row>
    <row r="232" spans="1:9" s="20" customFormat="1" ht="33" customHeight="1" hidden="1">
      <c r="A232" s="18" t="s">
        <v>112</v>
      </c>
      <c r="B232" s="4" t="s">
        <v>127</v>
      </c>
      <c r="C232" s="204"/>
      <c r="D232" s="17">
        <v>33000</v>
      </c>
      <c r="E232" s="4"/>
      <c r="F232" s="9"/>
      <c r="G232" s="19">
        <f t="shared" si="10"/>
        <v>33000</v>
      </c>
      <c r="H232" s="4"/>
      <c r="I232" s="46"/>
    </row>
    <row r="233" spans="1:9" s="20" customFormat="1" ht="47.25" hidden="1">
      <c r="A233" s="22" t="s">
        <v>235</v>
      </c>
      <c r="B233" s="23" t="s">
        <v>72</v>
      </c>
      <c r="C233" s="4"/>
      <c r="D233" s="32">
        <v>0</v>
      </c>
      <c r="E233" s="4"/>
      <c r="F233" s="24">
        <f>F235+F236</f>
        <v>0</v>
      </c>
      <c r="G233" s="24">
        <f t="shared" si="10"/>
        <v>0</v>
      </c>
      <c r="H233" s="71"/>
      <c r="I233" s="46"/>
    </row>
    <row r="234" spans="1:9" s="20" customFormat="1" ht="45" customHeight="1" hidden="1">
      <c r="A234" s="18" t="s">
        <v>136</v>
      </c>
      <c r="B234" s="4" t="s">
        <v>237</v>
      </c>
      <c r="C234" s="4"/>
      <c r="D234" s="5"/>
      <c r="E234" s="4" t="s">
        <v>245</v>
      </c>
      <c r="F234" s="12">
        <v>0</v>
      </c>
      <c r="G234" s="9">
        <v>0</v>
      </c>
      <c r="H234" s="4"/>
      <c r="I234" s="46"/>
    </row>
    <row r="235" spans="1:9" s="20" customFormat="1" ht="51.75" customHeight="1" hidden="1">
      <c r="A235" s="207">
        <v>250380</v>
      </c>
      <c r="B235" s="201" t="s">
        <v>341</v>
      </c>
      <c r="C235" s="4"/>
      <c r="D235" s="5"/>
      <c r="E235" s="4" t="s">
        <v>322</v>
      </c>
      <c r="F235" s="19">
        <v>0</v>
      </c>
      <c r="G235" s="19">
        <f>F235</f>
        <v>0</v>
      </c>
      <c r="H235" s="4"/>
      <c r="I235" s="46"/>
    </row>
    <row r="236" spans="1:9" s="20" customFormat="1" ht="51.75" customHeight="1" hidden="1">
      <c r="A236" s="208"/>
      <c r="B236" s="202"/>
      <c r="C236" s="4"/>
      <c r="D236" s="5"/>
      <c r="E236" s="4" t="s">
        <v>344</v>
      </c>
      <c r="F236" s="19">
        <v>0</v>
      </c>
      <c r="G236" s="19">
        <f>F236</f>
        <v>0</v>
      </c>
      <c r="H236" s="4"/>
      <c r="I236" s="46"/>
    </row>
    <row r="237" spans="1:9" s="20" customFormat="1" ht="47.25" hidden="1">
      <c r="A237" s="22" t="s">
        <v>176</v>
      </c>
      <c r="B237" s="23" t="s">
        <v>75</v>
      </c>
      <c r="C237" s="4"/>
      <c r="D237" s="24">
        <f>D241+D244+D245+D246+D247+D250+D251</f>
        <v>996508</v>
      </c>
      <c r="E237" s="4"/>
      <c r="F237" s="24">
        <f>F240+F243</f>
        <v>68812</v>
      </c>
      <c r="G237" s="24">
        <f>D237+F237</f>
        <v>1065320</v>
      </c>
      <c r="H237" s="71"/>
      <c r="I237" s="46"/>
    </row>
    <row r="238" spans="1:9" s="20" customFormat="1" ht="49.5" customHeight="1" hidden="1">
      <c r="A238" s="18" t="s">
        <v>207</v>
      </c>
      <c r="B238" s="4" t="s">
        <v>208</v>
      </c>
      <c r="C238" s="4" t="s">
        <v>213</v>
      </c>
      <c r="D238" s="17"/>
      <c r="E238" s="4" t="s">
        <v>213</v>
      </c>
      <c r="F238" s="19"/>
      <c r="G238" s="9">
        <v>0</v>
      </c>
      <c r="H238" s="4"/>
      <c r="I238" s="46"/>
    </row>
    <row r="239" spans="1:9" s="20" customFormat="1" ht="72" customHeight="1" hidden="1">
      <c r="A239" s="203" t="s">
        <v>207</v>
      </c>
      <c r="B239" s="204" t="s">
        <v>208</v>
      </c>
      <c r="C239" s="4" t="s">
        <v>334</v>
      </c>
      <c r="D239" s="17">
        <v>0</v>
      </c>
      <c r="E239" s="4"/>
      <c r="F239" s="19"/>
      <c r="G239" s="19">
        <v>0</v>
      </c>
      <c r="H239" s="4"/>
      <c r="I239" s="46"/>
    </row>
    <row r="240" spans="1:9" s="20" customFormat="1" ht="53.25" customHeight="1" hidden="1">
      <c r="A240" s="203"/>
      <c r="B240" s="204"/>
      <c r="C240" s="4"/>
      <c r="D240" s="17"/>
      <c r="E240" s="4" t="s">
        <v>450</v>
      </c>
      <c r="F240" s="19">
        <v>68812</v>
      </c>
      <c r="G240" s="19">
        <f>F240</f>
        <v>68812</v>
      </c>
      <c r="H240" s="4"/>
      <c r="I240" s="46"/>
    </row>
    <row r="241" spans="1:9" s="20" customFormat="1" ht="47.25" customHeight="1" hidden="1">
      <c r="A241" s="18" t="s">
        <v>129</v>
      </c>
      <c r="B241" s="4" t="s">
        <v>130</v>
      </c>
      <c r="C241" s="4" t="s">
        <v>454</v>
      </c>
      <c r="D241" s="17">
        <v>510000</v>
      </c>
      <c r="E241" s="4"/>
      <c r="F241" s="19"/>
      <c r="G241" s="19">
        <f>D241</f>
        <v>510000</v>
      </c>
      <c r="H241" s="4"/>
      <c r="I241" s="46"/>
    </row>
    <row r="242" spans="1:9" s="20" customFormat="1" ht="42.75" customHeight="1" hidden="1">
      <c r="A242" s="18" t="s">
        <v>119</v>
      </c>
      <c r="B242" s="4" t="s">
        <v>120</v>
      </c>
      <c r="C242" s="4"/>
      <c r="D242" s="17"/>
      <c r="E242" s="4" t="s">
        <v>241</v>
      </c>
      <c r="F242" s="19">
        <v>0</v>
      </c>
      <c r="G242" s="9">
        <v>0</v>
      </c>
      <c r="H242" s="4"/>
      <c r="I242" s="46"/>
    </row>
    <row r="243" spans="1:9" s="20" customFormat="1" ht="95.25" customHeight="1" hidden="1">
      <c r="A243" s="18" t="s">
        <v>106</v>
      </c>
      <c r="B243" s="4" t="s">
        <v>268</v>
      </c>
      <c r="C243" s="4"/>
      <c r="D243" s="17"/>
      <c r="E243" s="70" t="s">
        <v>332</v>
      </c>
      <c r="F243" s="19">
        <v>0</v>
      </c>
      <c r="G243" s="19">
        <f>F243</f>
        <v>0</v>
      </c>
      <c r="H243" s="4"/>
      <c r="I243" s="46"/>
    </row>
    <row r="244" spans="1:9" s="20" customFormat="1" ht="47.25" hidden="1">
      <c r="A244" s="203" t="s">
        <v>112</v>
      </c>
      <c r="B244" s="204" t="s">
        <v>127</v>
      </c>
      <c r="C244" s="4" t="s">
        <v>391</v>
      </c>
      <c r="D244" s="17">
        <v>155037</v>
      </c>
      <c r="E244" s="4"/>
      <c r="F244" s="9"/>
      <c r="G244" s="19">
        <f>D244</f>
        <v>155037</v>
      </c>
      <c r="H244" s="4"/>
      <c r="I244" s="46"/>
    </row>
    <row r="245" spans="1:9" s="20" customFormat="1" ht="47.25" hidden="1">
      <c r="A245" s="203"/>
      <c r="B245" s="204"/>
      <c r="C245" s="4" t="s">
        <v>454</v>
      </c>
      <c r="D245" s="17">
        <v>66308</v>
      </c>
      <c r="E245" s="4"/>
      <c r="F245" s="9"/>
      <c r="G245" s="19">
        <f aca="true" t="shared" si="11" ref="G245:G251">D245</f>
        <v>66308</v>
      </c>
      <c r="H245" s="4"/>
      <c r="I245" s="46"/>
    </row>
    <row r="246" spans="1:9" s="20" customFormat="1" ht="47.25" hidden="1">
      <c r="A246" s="203"/>
      <c r="B246" s="204"/>
      <c r="C246" s="4" t="s">
        <v>425</v>
      </c>
      <c r="D246" s="17">
        <v>233800</v>
      </c>
      <c r="E246" s="4"/>
      <c r="F246" s="9"/>
      <c r="G246" s="19">
        <f t="shared" si="11"/>
        <v>233800</v>
      </c>
      <c r="H246" s="4"/>
      <c r="I246" s="46"/>
    </row>
    <row r="247" spans="1:9" s="20" customFormat="1" ht="66" customHeight="1" hidden="1">
      <c r="A247" s="203"/>
      <c r="B247" s="204"/>
      <c r="C247" s="4" t="s">
        <v>392</v>
      </c>
      <c r="D247" s="17">
        <v>5100</v>
      </c>
      <c r="E247" s="4"/>
      <c r="F247" s="9"/>
      <c r="G247" s="19">
        <f t="shared" si="11"/>
        <v>5100</v>
      </c>
      <c r="H247" s="4"/>
      <c r="I247" s="46"/>
    </row>
    <row r="248" spans="1:9" s="20" customFormat="1" ht="45.75" customHeight="1" hidden="1">
      <c r="A248" s="203"/>
      <c r="B248" s="204"/>
      <c r="C248" s="4"/>
      <c r="D248" s="5"/>
      <c r="E248" s="4"/>
      <c r="F248" s="9"/>
      <c r="G248" s="19">
        <f t="shared" si="11"/>
        <v>0</v>
      </c>
      <c r="H248" s="4"/>
      <c r="I248" s="46"/>
    </row>
    <row r="249" spans="1:9" s="20" customFormat="1" ht="56.25" customHeight="1" hidden="1">
      <c r="A249" s="203"/>
      <c r="B249" s="204"/>
      <c r="C249" s="4"/>
      <c r="D249" s="5"/>
      <c r="E249" s="4"/>
      <c r="F249" s="9"/>
      <c r="G249" s="19">
        <f t="shared" si="11"/>
        <v>0</v>
      </c>
      <c r="H249" s="4"/>
      <c r="I249" s="46"/>
    </row>
    <row r="250" spans="1:9" s="20" customFormat="1" ht="47.25" hidden="1">
      <c r="A250" s="203"/>
      <c r="B250" s="204"/>
      <c r="C250" s="4" t="s">
        <v>390</v>
      </c>
      <c r="D250" s="17">
        <v>25298</v>
      </c>
      <c r="E250" s="4"/>
      <c r="F250" s="9"/>
      <c r="G250" s="19">
        <f t="shared" si="11"/>
        <v>25298</v>
      </c>
      <c r="H250" s="4"/>
      <c r="I250" s="46"/>
    </row>
    <row r="251" spans="1:9" s="20" customFormat="1" ht="63.75" customHeight="1" hidden="1">
      <c r="A251" s="203"/>
      <c r="B251" s="204"/>
      <c r="C251" s="4" t="s">
        <v>420</v>
      </c>
      <c r="D251" s="17">
        <v>965</v>
      </c>
      <c r="E251" s="4"/>
      <c r="F251" s="9"/>
      <c r="G251" s="19">
        <f t="shared" si="11"/>
        <v>965</v>
      </c>
      <c r="H251" s="4"/>
      <c r="I251" s="46"/>
    </row>
    <row r="252" spans="1:9" s="20" customFormat="1" ht="47.25">
      <c r="A252" s="22" t="s">
        <v>177</v>
      </c>
      <c r="B252" s="23" t="s">
        <v>78</v>
      </c>
      <c r="C252" s="4"/>
      <c r="D252" s="24">
        <f>D254+D258+D260+D261+D262+D263</f>
        <v>509258</v>
      </c>
      <c r="E252" s="23"/>
      <c r="F252" s="24">
        <f>F253+F254+F255+F257</f>
        <v>33765</v>
      </c>
      <c r="G252" s="24">
        <f>D252+F252</f>
        <v>543023</v>
      </c>
      <c r="H252" s="71"/>
      <c r="I252" s="46"/>
    </row>
    <row r="253" spans="1:9" s="20" customFormat="1" ht="43.5" customHeight="1" hidden="1">
      <c r="A253" s="18" t="s">
        <v>207</v>
      </c>
      <c r="B253" s="4" t="s">
        <v>208</v>
      </c>
      <c r="C253" s="4"/>
      <c r="D253" s="17"/>
      <c r="E253" s="4" t="s">
        <v>450</v>
      </c>
      <c r="F253" s="19">
        <v>27827</v>
      </c>
      <c r="G253" s="19">
        <f>F253</f>
        <v>27827</v>
      </c>
      <c r="H253" s="4"/>
      <c r="I253" s="46"/>
    </row>
    <row r="254" spans="1:9" s="20" customFormat="1" ht="50.25" customHeight="1">
      <c r="A254" s="203" t="s">
        <v>129</v>
      </c>
      <c r="B254" s="204" t="s">
        <v>130</v>
      </c>
      <c r="C254" s="4" t="s">
        <v>454</v>
      </c>
      <c r="D254" s="17">
        <v>440000</v>
      </c>
      <c r="E254" s="4" t="s">
        <v>454</v>
      </c>
      <c r="F254" s="19">
        <v>5542</v>
      </c>
      <c r="G254" s="19">
        <f>D254+F254</f>
        <v>445542</v>
      </c>
      <c r="H254" s="4">
        <v>5146</v>
      </c>
      <c r="I254" s="46"/>
    </row>
    <row r="255" spans="1:9" s="20" customFormat="1" ht="47.25" hidden="1">
      <c r="A255" s="203"/>
      <c r="B255" s="204"/>
      <c r="C255" s="4"/>
      <c r="D255" s="17"/>
      <c r="E255" s="35" t="s">
        <v>3</v>
      </c>
      <c r="F255" s="39">
        <v>396</v>
      </c>
      <c r="G255" s="39">
        <f>F255</f>
        <v>396</v>
      </c>
      <c r="H255" s="4"/>
      <c r="I255" s="46"/>
    </row>
    <row r="256" spans="1:9" s="20" customFormat="1" ht="21.75" customHeight="1" hidden="1">
      <c r="A256" s="18" t="s">
        <v>119</v>
      </c>
      <c r="B256" s="4" t="s">
        <v>120</v>
      </c>
      <c r="C256" s="4"/>
      <c r="D256" s="17"/>
      <c r="E256" s="4"/>
      <c r="F256" s="19"/>
      <c r="G256" s="19">
        <v>0</v>
      </c>
      <c r="H256" s="4"/>
      <c r="I256" s="46"/>
    </row>
    <row r="257" spans="1:9" s="20" customFormat="1" ht="99.75" customHeight="1" hidden="1">
      <c r="A257" s="18" t="s">
        <v>106</v>
      </c>
      <c r="B257" s="4" t="s">
        <v>268</v>
      </c>
      <c r="C257" s="4"/>
      <c r="D257" s="17"/>
      <c r="E257" s="70" t="s">
        <v>332</v>
      </c>
      <c r="F257" s="19">
        <v>0</v>
      </c>
      <c r="G257" s="19">
        <f>F257</f>
        <v>0</v>
      </c>
      <c r="H257" s="4"/>
      <c r="I257" s="46"/>
    </row>
    <row r="258" spans="1:9" s="20" customFormat="1" ht="47.25" hidden="1">
      <c r="A258" s="203" t="s">
        <v>112</v>
      </c>
      <c r="B258" s="204" t="s">
        <v>127</v>
      </c>
      <c r="C258" s="4" t="s">
        <v>391</v>
      </c>
      <c r="D258" s="17">
        <v>10800</v>
      </c>
      <c r="E258" s="4"/>
      <c r="F258" s="9"/>
      <c r="G258" s="19">
        <f aca="true" t="shared" si="12" ref="G258:G263">D258</f>
        <v>10800</v>
      </c>
      <c r="H258" s="4"/>
      <c r="I258" s="46"/>
    </row>
    <row r="259" spans="1:9" s="20" customFormat="1" ht="34.5" customHeight="1" hidden="1">
      <c r="A259" s="203"/>
      <c r="B259" s="204"/>
      <c r="C259" s="4"/>
      <c r="D259" s="17"/>
      <c r="E259" s="4"/>
      <c r="F259" s="9"/>
      <c r="G259" s="19">
        <f t="shared" si="12"/>
        <v>0</v>
      </c>
      <c r="H259" s="4"/>
      <c r="I259" s="46"/>
    </row>
    <row r="260" spans="1:9" s="20" customFormat="1" ht="52.5" customHeight="1" hidden="1">
      <c r="A260" s="203"/>
      <c r="B260" s="204"/>
      <c r="C260" s="4" t="s">
        <v>425</v>
      </c>
      <c r="D260" s="17">
        <v>31950</v>
      </c>
      <c r="E260" s="4"/>
      <c r="F260" s="9"/>
      <c r="G260" s="19">
        <f t="shared" si="12"/>
        <v>31950</v>
      </c>
      <c r="H260" s="4"/>
      <c r="I260" s="46"/>
    </row>
    <row r="261" spans="1:9" s="20" customFormat="1" ht="63" hidden="1">
      <c r="A261" s="203"/>
      <c r="B261" s="204"/>
      <c r="C261" s="4" t="s">
        <v>392</v>
      </c>
      <c r="D261" s="17">
        <v>5100</v>
      </c>
      <c r="E261" s="4"/>
      <c r="F261" s="9"/>
      <c r="G261" s="19">
        <f t="shared" si="12"/>
        <v>5100</v>
      </c>
      <c r="H261" s="4"/>
      <c r="I261" s="46"/>
    </row>
    <row r="262" spans="1:9" s="20" customFormat="1" ht="47.25" hidden="1">
      <c r="A262" s="203"/>
      <c r="B262" s="204"/>
      <c r="C262" s="4" t="s">
        <v>454</v>
      </c>
      <c r="D262" s="17">
        <v>0</v>
      </c>
      <c r="E262" s="4"/>
      <c r="F262" s="9"/>
      <c r="G262" s="19">
        <f t="shared" si="12"/>
        <v>0</v>
      </c>
      <c r="H262" s="4"/>
      <c r="I262" s="46"/>
    </row>
    <row r="263" spans="1:9" s="20" customFormat="1" ht="47.25" hidden="1">
      <c r="A263" s="203"/>
      <c r="B263" s="204"/>
      <c r="C263" s="4" t="s">
        <v>390</v>
      </c>
      <c r="D263" s="17">
        <v>21408</v>
      </c>
      <c r="E263" s="4"/>
      <c r="F263" s="9"/>
      <c r="G263" s="19">
        <f t="shared" si="12"/>
        <v>21408</v>
      </c>
      <c r="H263" s="4"/>
      <c r="I263" s="46"/>
    </row>
    <row r="264" spans="1:9" s="20" customFormat="1" ht="47.25">
      <c r="A264" s="22" t="s">
        <v>178</v>
      </c>
      <c r="B264" s="23" t="s">
        <v>79</v>
      </c>
      <c r="C264" s="4"/>
      <c r="D264" s="24">
        <f>D265+D266+D269+D270+D271+D272+D274+D275</f>
        <v>970596</v>
      </c>
      <c r="E264" s="23"/>
      <c r="F264" s="24">
        <f>F265+F266+F267+F268</f>
        <v>4568094</v>
      </c>
      <c r="G264" s="24">
        <f>D264+F264</f>
        <v>5538690</v>
      </c>
      <c r="H264" s="71"/>
      <c r="I264" s="46"/>
    </row>
    <row r="265" spans="1:9" s="20" customFormat="1" ht="45" customHeight="1" hidden="1">
      <c r="A265" s="18" t="s">
        <v>207</v>
      </c>
      <c r="B265" s="4" t="s">
        <v>208</v>
      </c>
      <c r="C265" s="4"/>
      <c r="D265" s="17"/>
      <c r="E265" s="4" t="s">
        <v>450</v>
      </c>
      <c r="F265" s="19">
        <v>27975</v>
      </c>
      <c r="G265" s="19">
        <f>F265</f>
        <v>27975</v>
      </c>
      <c r="H265" s="4"/>
      <c r="I265" s="46"/>
    </row>
    <row r="266" spans="1:9" s="20" customFormat="1" ht="56.25" customHeight="1">
      <c r="A266" s="18" t="s">
        <v>129</v>
      </c>
      <c r="B266" s="4" t="s">
        <v>130</v>
      </c>
      <c r="C266" s="4" t="s">
        <v>454</v>
      </c>
      <c r="D266" s="17">
        <v>710000</v>
      </c>
      <c r="E266" s="4" t="s">
        <v>454</v>
      </c>
      <c r="F266" s="19">
        <v>132173</v>
      </c>
      <c r="G266" s="19">
        <f>D266+F266</f>
        <v>842173</v>
      </c>
      <c r="H266" s="4">
        <v>132173</v>
      </c>
      <c r="I266" s="46"/>
    </row>
    <row r="267" spans="1:9" s="20" customFormat="1" ht="47.25" hidden="1">
      <c r="A267" s="18" t="s">
        <v>119</v>
      </c>
      <c r="B267" s="4" t="s">
        <v>120</v>
      </c>
      <c r="C267" s="4"/>
      <c r="D267" s="17"/>
      <c r="E267" s="4" t="s">
        <v>454</v>
      </c>
      <c r="F267" s="19">
        <v>4407946</v>
      </c>
      <c r="G267" s="19">
        <f>F267</f>
        <v>4407946</v>
      </c>
      <c r="H267" s="4"/>
      <c r="I267" s="46"/>
    </row>
    <row r="268" spans="1:9" s="20" customFormat="1" ht="99.75" customHeight="1" hidden="1">
      <c r="A268" s="18" t="s">
        <v>106</v>
      </c>
      <c r="B268" s="4" t="s">
        <v>268</v>
      </c>
      <c r="C268" s="4"/>
      <c r="D268" s="17"/>
      <c r="E268" s="70" t="s">
        <v>332</v>
      </c>
      <c r="F268" s="19">
        <v>0</v>
      </c>
      <c r="G268" s="19">
        <f>F268</f>
        <v>0</v>
      </c>
      <c r="H268" s="4"/>
      <c r="I268" s="46"/>
    </row>
    <row r="269" spans="1:9" s="20" customFormat="1" ht="47.25" hidden="1">
      <c r="A269" s="203" t="s">
        <v>112</v>
      </c>
      <c r="B269" s="204" t="s">
        <v>127</v>
      </c>
      <c r="C269" s="4" t="s">
        <v>391</v>
      </c>
      <c r="D269" s="17">
        <v>108138</v>
      </c>
      <c r="E269" s="4"/>
      <c r="F269" s="9"/>
      <c r="G269" s="19">
        <f>D269</f>
        <v>108138</v>
      </c>
      <c r="H269" s="4"/>
      <c r="I269" s="46"/>
    </row>
    <row r="270" spans="1:9" s="20" customFormat="1" ht="47.25" hidden="1">
      <c r="A270" s="203"/>
      <c r="B270" s="204"/>
      <c r="C270" s="4" t="s">
        <v>454</v>
      </c>
      <c r="D270" s="17">
        <v>66600</v>
      </c>
      <c r="E270" s="4"/>
      <c r="F270" s="9"/>
      <c r="G270" s="19">
        <f aca="true" t="shared" si="13" ref="G270:G275">D270</f>
        <v>66600</v>
      </c>
      <c r="H270" s="4"/>
      <c r="I270" s="46"/>
    </row>
    <row r="271" spans="1:9" s="20" customFormat="1" ht="47.25" hidden="1">
      <c r="A271" s="203"/>
      <c r="B271" s="204"/>
      <c r="C271" s="4" t="s">
        <v>425</v>
      </c>
      <c r="D271" s="17">
        <v>38505</v>
      </c>
      <c r="E271" s="4"/>
      <c r="F271" s="9"/>
      <c r="G271" s="19">
        <f t="shared" si="13"/>
        <v>38505</v>
      </c>
      <c r="H271" s="4"/>
      <c r="I271" s="46"/>
    </row>
    <row r="272" spans="1:9" s="20" customFormat="1" ht="63" hidden="1">
      <c r="A272" s="203"/>
      <c r="B272" s="204"/>
      <c r="C272" s="4" t="s">
        <v>392</v>
      </c>
      <c r="D272" s="17">
        <v>2756</v>
      </c>
      <c r="E272" s="4"/>
      <c r="F272" s="9"/>
      <c r="G272" s="19">
        <f t="shared" si="13"/>
        <v>2756</v>
      </c>
      <c r="H272" s="4"/>
      <c r="I272" s="46"/>
    </row>
    <row r="273" spans="1:9" s="20" customFormat="1" ht="21.75" customHeight="1" hidden="1">
      <c r="A273" s="203"/>
      <c r="B273" s="204"/>
      <c r="C273" s="4"/>
      <c r="D273" s="5"/>
      <c r="E273" s="4"/>
      <c r="F273" s="9"/>
      <c r="G273" s="19">
        <f t="shared" si="13"/>
        <v>0</v>
      </c>
      <c r="H273" s="4"/>
      <c r="I273" s="46"/>
    </row>
    <row r="274" spans="1:9" s="20" customFormat="1" ht="47.25" hidden="1">
      <c r="A274" s="203"/>
      <c r="B274" s="204"/>
      <c r="C274" s="4" t="s">
        <v>390</v>
      </c>
      <c r="D274" s="17">
        <f>18932+14100</f>
        <v>33032</v>
      </c>
      <c r="E274" s="4"/>
      <c r="F274" s="9"/>
      <c r="G274" s="19">
        <f t="shared" si="13"/>
        <v>33032</v>
      </c>
      <c r="H274" s="4"/>
      <c r="I274" s="46"/>
    </row>
    <row r="275" spans="1:9" s="20" customFormat="1" ht="66.75" customHeight="1" hidden="1">
      <c r="A275" s="203"/>
      <c r="B275" s="204"/>
      <c r="C275" s="4" t="s">
        <v>420</v>
      </c>
      <c r="D275" s="17">
        <v>11565</v>
      </c>
      <c r="E275" s="4"/>
      <c r="F275" s="9"/>
      <c r="G275" s="19">
        <f t="shared" si="13"/>
        <v>11565</v>
      </c>
      <c r="H275" s="4"/>
      <c r="I275" s="46"/>
    </row>
    <row r="276" spans="1:9" s="20" customFormat="1" ht="47.25">
      <c r="A276" s="22" t="s">
        <v>179</v>
      </c>
      <c r="B276" s="23" t="s">
        <v>80</v>
      </c>
      <c r="C276" s="4"/>
      <c r="D276" s="24">
        <f>D278+D280+D281+D282+D283+D284+D285</f>
        <v>663789</v>
      </c>
      <c r="E276" s="23"/>
      <c r="F276" s="24">
        <f>F277+F278+F279</f>
        <v>273375</v>
      </c>
      <c r="G276" s="28">
        <f>D276+F276</f>
        <v>937164</v>
      </c>
      <c r="H276" s="74"/>
      <c r="I276" s="46"/>
    </row>
    <row r="277" spans="1:9" s="20" customFormat="1" ht="31.5" hidden="1">
      <c r="A277" s="18" t="s">
        <v>207</v>
      </c>
      <c r="B277" s="4" t="s">
        <v>208</v>
      </c>
      <c r="C277" s="4"/>
      <c r="D277" s="17"/>
      <c r="E277" s="4" t="s">
        <v>450</v>
      </c>
      <c r="F277" s="19">
        <v>42375</v>
      </c>
      <c r="G277" s="19">
        <f>F277</f>
        <v>42375</v>
      </c>
      <c r="H277" s="23"/>
      <c r="I277" s="46"/>
    </row>
    <row r="278" spans="1:9" s="20" customFormat="1" ht="66" customHeight="1">
      <c r="A278" s="18" t="s">
        <v>129</v>
      </c>
      <c r="B278" s="4" t="s">
        <v>130</v>
      </c>
      <c r="C278" s="4" t="s">
        <v>454</v>
      </c>
      <c r="D278" s="17">
        <v>480000</v>
      </c>
      <c r="E278" s="4" t="s">
        <v>454</v>
      </c>
      <c r="F278" s="19">
        <v>10000</v>
      </c>
      <c r="G278" s="19">
        <f>D278+F278</f>
        <v>490000</v>
      </c>
      <c r="H278" s="4">
        <v>10000</v>
      </c>
      <c r="I278" s="46"/>
    </row>
    <row r="279" spans="1:9" s="20" customFormat="1" ht="55.5" customHeight="1" hidden="1">
      <c r="A279" s="18" t="s">
        <v>119</v>
      </c>
      <c r="B279" s="4" t="s">
        <v>120</v>
      </c>
      <c r="C279" s="4"/>
      <c r="D279" s="17"/>
      <c r="E279" s="4" t="s">
        <v>454</v>
      </c>
      <c r="F279" s="19">
        <v>221000</v>
      </c>
      <c r="G279" s="19">
        <f>F279</f>
        <v>221000</v>
      </c>
      <c r="H279" s="4"/>
      <c r="I279" s="46"/>
    </row>
    <row r="280" spans="1:9" s="20" customFormat="1" ht="47.25" hidden="1">
      <c r="A280" s="203" t="s">
        <v>112</v>
      </c>
      <c r="B280" s="204" t="s">
        <v>127</v>
      </c>
      <c r="C280" s="4" t="s">
        <v>391</v>
      </c>
      <c r="D280" s="17">
        <v>111797</v>
      </c>
      <c r="E280" s="4"/>
      <c r="F280" s="9"/>
      <c r="G280" s="19">
        <f aca="true" t="shared" si="14" ref="G280:G285">D280</f>
        <v>111797</v>
      </c>
      <c r="H280" s="4"/>
      <c r="I280" s="46"/>
    </row>
    <row r="281" spans="1:9" s="20" customFormat="1" ht="47.25" hidden="1">
      <c r="A281" s="203"/>
      <c r="B281" s="204"/>
      <c r="C281" s="4" t="s">
        <v>454</v>
      </c>
      <c r="D281" s="17">
        <v>16686</v>
      </c>
      <c r="E281" s="4"/>
      <c r="F281" s="9"/>
      <c r="G281" s="19">
        <f t="shared" si="14"/>
        <v>16686</v>
      </c>
      <c r="H281" s="4"/>
      <c r="I281" s="46"/>
    </row>
    <row r="282" spans="1:9" s="20" customFormat="1" ht="47.25" hidden="1">
      <c r="A282" s="203"/>
      <c r="B282" s="204"/>
      <c r="C282" s="4" t="s">
        <v>425</v>
      </c>
      <c r="D282" s="17">
        <v>26015</v>
      </c>
      <c r="E282" s="4"/>
      <c r="F282" s="9"/>
      <c r="G282" s="19">
        <f t="shared" si="14"/>
        <v>26015</v>
      </c>
      <c r="H282" s="4"/>
      <c r="I282" s="46"/>
    </row>
    <row r="283" spans="1:9" s="20" customFormat="1" ht="63" hidden="1">
      <c r="A283" s="203"/>
      <c r="B283" s="204"/>
      <c r="C283" s="4" t="s">
        <v>392</v>
      </c>
      <c r="D283" s="17">
        <v>4133</v>
      </c>
      <c r="E283" s="4"/>
      <c r="F283" s="9"/>
      <c r="G283" s="19">
        <f t="shared" si="14"/>
        <v>4133</v>
      </c>
      <c r="H283" s="4"/>
      <c r="I283" s="46"/>
    </row>
    <row r="284" spans="1:9" s="20" customFormat="1" ht="47.25" hidden="1">
      <c r="A284" s="203"/>
      <c r="B284" s="204"/>
      <c r="C284" s="4" t="s">
        <v>390</v>
      </c>
      <c r="D284" s="17">
        <v>23096</v>
      </c>
      <c r="E284" s="4"/>
      <c r="F284" s="9"/>
      <c r="G284" s="19">
        <f t="shared" si="14"/>
        <v>23096</v>
      </c>
      <c r="H284" s="4"/>
      <c r="I284" s="46"/>
    </row>
    <row r="285" spans="1:9" s="20" customFormat="1" ht="63.75" customHeight="1" hidden="1">
      <c r="A285" s="203"/>
      <c r="B285" s="204"/>
      <c r="C285" s="4" t="s">
        <v>420</v>
      </c>
      <c r="D285" s="17">
        <v>2062</v>
      </c>
      <c r="E285" s="4"/>
      <c r="F285" s="9"/>
      <c r="G285" s="19">
        <f t="shared" si="14"/>
        <v>2062</v>
      </c>
      <c r="H285" s="4"/>
      <c r="I285" s="46"/>
    </row>
    <row r="286" spans="1:9" s="33" customFormat="1" ht="47.25" hidden="1">
      <c r="A286" s="22" t="s">
        <v>180</v>
      </c>
      <c r="B286" s="23" t="s">
        <v>81</v>
      </c>
      <c r="C286" s="23"/>
      <c r="D286" s="24">
        <f>D288+D290+D292+D294+D296+D297+D298+D299+D300+D301</f>
        <v>1140260</v>
      </c>
      <c r="E286" s="23"/>
      <c r="F286" s="24">
        <f>F289+F293</f>
        <v>77975</v>
      </c>
      <c r="G286" s="24">
        <f>D286+F286</f>
        <v>1218235</v>
      </c>
      <c r="H286" s="74"/>
      <c r="I286" s="46"/>
    </row>
    <row r="287" spans="1:9" s="33" customFormat="1" ht="55.5" customHeight="1" hidden="1">
      <c r="A287" s="18" t="s">
        <v>207</v>
      </c>
      <c r="B287" s="4" t="s">
        <v>208</v>
      </c>
      <c r="C287" s="4" t="s">
        <v>214</v>
      </c>
      <c r="D287" s="17"/>
      <c r="E287" s="4" t="s">
        <v>214</v>
      </c>
      <c r="F287" s="19"/>
      <c r="G287" s="19">
        <v>0</v>
      </c>
      <c r="H287" s="23"/>
      <c r="I287" s="46"/>
    </row>
    <row r="288" spans="1:9" s="33" customFormat="1" ht="69" customHeight="1" hidden="1">
      <c r="A288" s="205" t="s">
        <v>207</v>
      </c>
      <c r="B288" s="201" t="s">
        <v>208</v>
      </c>
      <c r="C288" s="4" t="s">
        <v>420</v>
      </c>
      <c r="D288" s="17">
        <v>7791</v>
      </c>
      <c r="E288" s="4"/>
      <c r="F288" s="19"/>
      <c r="G288" s="19">
        <f>D288</f>
        <v>7791</v>
      </c>
      <c r="H288" s="23"/>
      <c r="I288" s="46"/>
    </row>
    <row r="289" spans="1:9" s="33" customFormat="1" ht="54.75" customHeight="1" hidden="1">
      <c r="A289" s="206"/>
      <c r="B289" s="202"/>
      <c r="C289" s="4"/>
      <c r="D289" s="17"/>
      <c r="E289" s="4" t="s">
        <v>450</v>
      </c>
      <c r="F289" s="19">
        <v>27975</v>
      </c>
      <c r="G289" s="19">
        <f>F289</f>
        <v>27975</v>
      </c>
      <c r="H289" s="23"/>
      <c r="I289" s="46"/>
    </row>
    <row r="290" spans="1:9" s="20" customFormat="1" ht="49.5" customHeight="1" hidden="1">
      <c r="A290" s="203" t="s">
        <v>129</v>
      </c>
      <c r="B290" s="204" t="s">
        <v>130</v>
      </c>
      <c r="C290" s="4" t="s">
        <v>454</v>
      </c>
      <c r="D290" s="17">
        <v>768655</v>
      </c>
      <c r="E290" s="4"/>
      <c r="F290" s="19"/>
      <c r="G290" s="19">
        <f>D290</f>
        <v>768655</v>
      </c>
      <c r="H290" s="4"/>
      <c r="I290" s="46"/>
    </row>
    <row r="291" spans="1:9" s="20" customFormat="1" ht="47.25" hidden="1">
      <c r="A291" s="203"/>
      <c r="B291" s="204"/>
      <c r="C291" s="4"/>
      <c r="D291" s="17"/>
      <c r="E291" s="35" t="s">
        <v>311</v>
      </c>
      <c r="F291" s="39">
        <v>0</v>
      </c>
      <c r="G291" s="39">
        <v>0</v>
      </c>
      <c r="H291" s="4"/>
      <c r="I291" s="46"/>
    </row>
    <row r="292" spans="1:9" s="20" customFormat="1" ht="47.25" hidden="1">
      <c r="A292" s="18" t="s">
        <v>284</v>
      </c>
      <c r="B292" s="4" t="s">
        <v>127</v>
      </c>
      <c r="C292" s="4" t="s">
        <v>306</v>
      </c>
      <c r="D292" s="17">
        <v>0</v>
      </c>
      <c r="E292" s="4"/>
      <c r="F292" s="19"/>
      <c r="G292" s="19">
        <f>D292</f>
        <v>0</v>
      </c>
      <c r="H292" s="4"/>
      <c r="I292" s="46"/>
    </row>
    <row r="293" spans="1:9" s="20" customFormat="1" ht="93.75" customHeight="1" hidden="1">
      <c r="A293" s="18" t="s">
        <v>106</v>
      </c>
      <c r="B293" s="4" t="s">
        <v>268</v>
      </c>
      <c r="C293" s="4"/>
      <c r="D293" s="17"/>
      <c r="E293" s="4" t="s">
        <v>410</v>
      </c>
      <c r="F293" s="19">
        <v>50000</v>
      </c>
      <c r="G293" s="19">
        <f>F293</f>
        <v>50000</v>
      </c>
      <c r="H293" s="4"/>
      <c r="I293" s="46"/>
    </row>
    <row r="294" spans="1:9" s="20" customFormat="1" ht="47.25" hidden="1">
      <c r="A294" s="203" t="s">
        <v>112</v>
      </c>
      <c r="B294" s="204" t="s">
        <v>127</v>
      </c>
      <c r="C294" s="4" t="s">
        <v>391</v>
      </c>
      <c r="D294" s="17">
        <v>245113</v>
      </c>
      <c r="E294" s="4"/>
      <c r="F294" s="9"/>
      <c r="G294" s="19">
        <f>D294</f>
        <v>245113</v>
      </c>
      <c r="H294" s="4"/>
      <c r="I294" s="46"/>
    </row>
    <row r="295" spans="1:9" s="20" customFormat="1" ht="21" customHeight="1" hidden="1">
      <c r="A295" s="203"/>
      <c r="B295" s="204"/>
      <c r="C295" s="4"/>
      <c r="D295" s="17"/>
      <c r="E295" s="4"/>
      <c r="F295" s="9"/>
      <c r="G295" s="19">
        <f aca="true" t="shared" si="15" ref="G295:G301">D295</f>
        <v>0</v>
      </c>
      <c r="H295" s="4"/>
      <c r="I295" s="46"/>
    </row>
    <row r="296" spans="1:9" s="20" customFormat="1" ht="15.75" hidden="1">
      <c r="A296" s="203"/>
      <c r="B296" s="204"/>
      <c r="C296" s="4"/>
      <c r="D296" s="17">
        <v>0</v>
      </c>
      <c r="E296" s="4"/>
      <c r="F296" s="9"/>
      <c r="G296" s="19">
        <f t="shared" si="15"/>
        <v>0</v>
      </c>
      <c r="H296" s="4"/>
      <c r="I296" s="46"/>
    </row>
    <row r="297" spans="1:9" s="20" customFormat="1" ht="47.25" hidden="1">
      <c r="A297" s="203"/>
      <c r="B297" s="204"/>
      <c r="C297" s="4" t="s">
        <v>425</v>
      </c>
      <c r="D297" s="17">
        <v>63468</v>
      </c>
      <c r="E297" s="4"/>
      <c r="F297" s="9"/>
      <c r="G297" s="19">
        <f t="shared" si="15"/>
        <v>63468</v>
      </c>
      <c r="H297" s="4"/>
      <c r="I297" s="46"/>
    </row>
    <row r="298" spans="1:9" s="20" customFormat="1" ht="63" hidden="1">
      <c r="A298" s="203"/>
      <c r="B298" s="204"/>
      <c r="C298" s="4" t="s">
        <v>392</v>
      </c>
      <c r="D298" s="17">
        <v>3100</v>
      </c>
      <c r="E298" s="4"/>
      <c r="F298" s="9"/>
      <c r="G298" s="19">
        <f t="shared" si="15"/>
        <v>3100</v>
      </c>
      <c r="H298" s="4"/>
      <c r="I298" s="46"/>
    </row>
    <row r="299" spans="1:9" s="20" customFormat="1" ht="47.25" hidden="1">
      <c r="A299" s="203"/>
      <c r="B299" s="204"/>
      <c r="C299" s="4" t="s">
        <v>390</v>
      </c>
      <c r="D299" s="17">
        <v>18610</v>
      </c>
      <c r="E299" s="4"/>
      <c r="F299" s="9"/>
      <c r="G299" s="19">
        <f t="shared" si="15"/>
        <v>18610</v>
      </c>
      <c r="H299" s="4"/>
      <c r="I299" s="46"/>
    </row>
    <row r="300" spans="1:9" s="20" customFormat="1" ht="47.25" hidden="1">
      <c r="A300" s="203"/>
      <c r="B300" s="204"/>
      <c r="C300" s="4" t="s">
        <v>454</v>
      </c>
      <c r="D300" s="17">
        <v>32058</v>
      </c>
      <c r="E300" s="4"/>
      <c r="F300" s="9"/>
      <c r="G300" s="19">
        <f t="shared" si="15"/>
        <v>32058</v>
      </c>
      <c r="H300" s="4"/>
      <c r="I300" s="46"/>
    </row>
    <row r="301" spans="1:9" s="20" customFormat="1" ht="65.25" customHeight="1" hidden="1">
      <c r="A301" s="203"/>
      <c r="B301" s="204"/>
      <c r="C301" s="4" t="s">
        <v>420</v>
      </c>
      <c r="D301" s="17">
        <v>1465</v>
      </c>
      <c r="E301" s="4"/>
      <c r="F301" s="9"/>
      <c r="G301" s="19">
        <f t="shared" si="15"/>
        <v>1465</v>
      </c>
      <c r="H301" s="4"/>
      <c r="I301" s="46"/>
    </row>
    <row r="302" spans="1:9" s="33" customFormat="1" ht="47.25" hidden="1">
      <c r="A302" s="22" t="s">
        <v>181</v>
      </c>
      <c r="B302" s="23" t="s">
        <v>82</v>
      </c>
      <c r="C302" s="23"/>
      <c r="D302" s="24">
        <f>D305+D307+D309+D310+D311+D312+D313</f>
        <v>828027</v>
      </c>
      <c r="E302" s="23"/>
      <c r="F302" s="24">
        <f>F303+F304+F305+F306</f>
        <v>80975</v>
      </c>
      <c r="G302" s="28">
        <f>D302+F302</f>
        <v>909002</v>
      </c>
      <c r="H302" s="74"/>
      <c r="I302" s="46"/>
    </row>
    <row r="303" spans="1:9" s="33" customFormat="1" ht="49.5" customHeight="1" hidden="1">
      <c r="A303" s="18" t="s">
        <v>207</v>
      </c>
      <c r="B303" s="4" t="s">
        <v>208</v>
      </c>
      <c r="C303" s="4"/>
      <c r="D303" s="17"/>
      <c r="E303" s="4" t="s">
        <v>450</v>
      </c>
      <c r="F303" s="19">
        <v>27975</v>
      </c>
      <c r="G303" s="19">
        <f>F303</f>
        <v>27975</v>
      </c>
      <c r="H303" s="23"/>
      <c r="I303" s="46"/>
    </row>
    <row r="304" spans="1:9" s="33" customFormat="1" ht="49.5" customHeight="1" hidden="1">
      <c r="A304" s="18" t="s">
        <v>119</v>
      </c>
      <c r="B304" s="4" t="s">
        <v>120</v>
      </c>
      <c r="C304" s="4"/>
      <c r="D304" s="17"/>
      <c r="E304" s="4" t="s">
        <v>454</v>
      </c>
      <c r="F304" s="19">
        <v>3000</v>
      </c>
      <c r="G304" s="19">
        <f>F304</f>
        <v>3000</v>
      </c>
      <c r="H304" s="23"/>
      <c r="I304" s="46"/>
    </row>
    <row r="305" spans="1:9" s="20" customFormat="1" ht="48" customHeight="1" hidden="1">
      <c r="A305" s="18" t="s">
        <v>129</v>
      </c>
      <c r="B305" s="4" t="s">
        <v>130</v>
      </c>
      <c r="C305" s="4" t="s">
        <v>454</v>
      </c>
      <c r="D305" s="17">
        <v>650000</v>
      </c>
      <c r="E305" s="4"/>
      <c r="F305" s="19"/>
      <c r="G305" s="19">
        <f>D305+F305</f>
        <v>650000</v>
      </c>
      <c r="H305" s="4"/>
      <c r="I305" s="46"/>
    </row>
    <row r="306" spans="1:9" s="20" customFormat="1" ht="93.75" customHeight="1" hidden="1">
      <c r="A306" s="18" t="s">
        <v>106</v>
      </c>
      <c r="B306" s="4" t="s">
        <v>268</v>
      </c>
      <c r="C306" s="4"/>
      <c r="D306" s="17"/>
      <c r="E306" s="4" t="s">
        <v>410</v>
      </c>
      <c r="F306" s="19">
        <v>50000</v>
      </c>
      <c r="G306" s="19">
        <f>F306</f>
        <v>50000</v>
      </c>
      <c r="H306" s="4"/>
      <c r="I306" s="46"/>
    </row>
    <row r="307" spans="1:9" s="20" customFormat="1" ht="47.25" hidden="1">
      <c r="A307" s="203" t="s">
        <v>112</v>
      </c>
      <c r="B307" s="204" t="s">
        <v>127</v>
      </c>
      <c r="C307" s="4" t="s">
        <v>391</v>
      </c>
      <c r="D307" s="17">
        <v>72092</v>
      </c>
      <c r="E307" s="4"/>
      <c r="F307" s="9"/>
      <c r="G307" s="19">
        <f aca="true" t="shared" si="16" ref="G307:G313">D307</f>
        <v>72092</v>
      </c>
      <c r="H307" s="4"/>
      <c r="I307" s="46"/>
    </row>
    <row r="308" spans="1:9" s="20" customFormat="1" ht="30.75" customHeight="1" hidden="1">
      <c r="A308" s="203"/>
      <c r="B308" s="204"/>
      <c r="C308" s="4"/>
      <c r="D308" s="17"/>
      <c r="E308" s="4"/>
      <c r="F308" s="9"/>
      <c r="G308" s="19">
        <f t="shared" si="16"/>
        <v>0</v>
      </c>
      <c r="H308" s="4"/>
      <c r="I308" s="46"/>
    </row>
    <row r="309" spans="1:9" s="20" customFormat="1" ht="47.25" hidden="1">
      <c r="A309" s="203"/>
      <c r="B309" s="204"/>
      <c r="C309" s="4" t="s">
        <v>425</v>
      </c>
      <c r="D309" s="17">
        <v>43038</v>
      </c>
      <c r="E309" s="4"/>
      <c r="F309" s="9"/>
      <c r="G309" s="19">
        <f t="shared" si="16"/>
        <v>43038</v>
      </c>
      <c r="H309" s="4"/>
      <c r="I309" s="46"/>
    </row>
    <row r="310" spans="1:9" s="20" customFormat="1" ht="63" hidden="1">
      <c r="A310" s="203"/>
      <c r="B310" s="204"/>
      <c r="C310" s="4" t="s">
        <v>392</v>
      </c>
      <c r="D310" s="17">
        <v>2067</v>
      </c>
      <c r="E310" s="4"/>
      <c r="F310" s="9"/>
      <c r="G310" s="19">
        <f t="shared" si="16"/>
        <v>2067</v>
      </c>
      <c r="H310" s="4"/>
      <c r="I310" s="46"/>
    </row>
    <row r="311" spans="1:9" s="20" customFormat="1" ht="47.25" hidden="1">
      <c r="A311" s="203"/>
      <c r="B311" s="204"/>
      <c r="C311" s="4" t="s">
        <v>390</v>
      </c>
      <c r="D311" s="17">
        <v>26781</v>
      </c>
      <c r="E311" s="4"/>
      <c r="F311" s="9"/>
      <c r="G311" s="19">
        <f t="shared" si="16"/>
        <v>26781</v>
      </c>
      <c r="H311" s="4"/>
      <c r="I311" s="46"/>
    </row>
    <row r="312" spans="1:9" s="20" customFormat="1" ht="47.25" hidden="1">
      <c r="A312" s="203"/>
      <c r="B312" s="204"/>
      <c r="C312" s="4" t="s">
        <v>454</v>
      </c>
      <c r="D312" s="17">
        <v>33132</v>
      </c>
      <c r="E312" s="4"/>
      <c r="F312" s="9"/>
      <c r="G312" s="19">
        <f t="shared" si="16"/>
        <v>33132</v>
      </c>
      <c r="H312" s="4"/>
      <c r="I312" s="46"/>
    </row>
    <row r="313" spans="1:9" s="20" customFormat="1" ht="69" customHeight="1" hidden="1">
      <c r="A313" s="203"/>
      <c r="B313" s="204"/>
      <c r="C313" s="4" t="s">
        <v>420</v>
      </c>
      <c r="D313" s="17">
        <v>917</v>
      </c>
      <c r="E313" s="4"/>
      <c r="F313" s="9"/>
      <c r="G313" s="19">
        <f t="shared" si="16"/>
        <v>917</v>
      </c>
      <c r="H313" s="4"/>
      <c r="I313" s="46"/>
    </row>
    <row r="314" spans="1:9" s="20" customFormat="1" ht="46.5" customHeight="1" hidden="1">
      <c r="A314" s="22" t="s">
        <v>182</v>
      </c>
      <c r="B314" s="23" t="s">
        <v>83</v>
      </c>
      <c r="C314" s="4"/>
      <c r="D314" s="24">
        <f>D315+D317+D318+D320+D321+D323+D324+D325</f>
        <v>745594</v>
      </c>
      <c r="E314" s="4"/>
      <c r="F314" s="24">
        <f>F316</f>
        <v>27975</v>
      </c>
      <c r="G314" s="24">
        <f>D314+F314</f>
        <v>773569</v>
      </c>
      <c r="H314" s="71"/>
      <c r="I314" s="46"/>
    </row>
    <row r="315" spans="1:9" s="20" customFormat="1" ht="67.5" customHeight="1" hidden="1">
      <c r="A315" s="203" t="s">
        <v>207</v>
      </c>
      <c r="B315" s="204" t="s">
        <v>208</v>
      </c>
      <c r="C315" s="4" t="s">
        <v>420</v>
      </c>
      <c r="D315" s="17">
        <v>339</v>
      </c>
      <c r="E315" s="4"/>
      <c r="F315" s="24"/>
      <c r="G315" s="19">
        <f>D315</f>
        <v>339</v>
      </c>
      <c r="H315" s="71"/>
      <c r="I315" s="46"/>
    </row>
    <row r="316" spans="1:9" s="20" customFormat="1" ht="64.5" customHeight="1" hidden="1">
      <c r="A316" s="203"/>
      <c r="B316" s="204"/>
      <c r="C316" s="4"/>
      <c r="D316" s="17"/>
      <c r="E316" s="4" t="s">
        <v>450</v>
      </c>
      <c r="F316" s="19">
        <v>27975</v>
      </c>
      <c r="G316" s="19">
        <f>F316</f>
        <v>27975</v>
      </c>
      <c r="H316" s="4"/>
      <c r="I316" s="46"/>
    </row>
    <row r="317" spans="1:9" s="20" customFormat="1" ht="45.75" customHeight="1" hidden="1">
      <c r="A317" s="18" t="s">
        <v>129</v>
      </c>
      <c r="B317" s="4" t="s">
        <v>130</v>
      </c>
      <c r="C317" s="4" t="s">
        <v>454</v>
      </c>
      <c r="D317" s="17">
        <v>527000</v>
      </c>
      <c r="E317" s="4"/>
      <c r="F317" s="19"/>
      <c r="G317" s="19">
        <f>D317</f>
        <v>527000</v>
      </c>
      <c r="H317" s="4"/>
      <c r="I317" s="46"/>
    </row>
    <row r="318" spans="1:9" s="20" customFormat="1" ht="47.25" hidden="1">
      <c r="A318" s="203" t="s">
        <v>112</v>
      </c>
      <c r="B318" s="204" t="s">
        <v>127</v>
      </c>
      <c r="C318" s="4" t="s">
        <v>391</v>
      </c>
      <c r="D318" s="17">
        <v>100929</v>
      </c>
      <c r="E318" s="4"/>
      <c r="F318" s="9"/>
      <c r="G318" s="19">
        <f aca="true" t="shared" si="17" ref="G318:G325">D318</f>
        <v>100929</v>
      </c>
      <c r="H318" s="4"/>
      <c r="I318" s="46"/>
    </row>
    <row r="319" spans="1:9" s="20" customFormat="1" ht="15.75" customHeight="1" hidden="1">
      <c r="A319" s="203"/>
      <c r="B319" s="204"/>
      <c r="C319" s="4"/>
      <c r="D319" s="17"/>
      <c r="E319" s="4"/>
      <c r="F319" s="19">
        <v>0</v>
      </c>
      <c r="G319" s="19">
        <f t="shared" si="17"/>
        <v>0</v>
      </c>
      <c r="H319" s="4"/>
      <c r="I319" s="46"/>
    </row>
    <row r="320" spans="1:9" s="20" customFormat="1" ht="47.25" hidden="1">
      <c r="A320" s="203"/>
      <c r="B320" s="204"/>
      <c r="C320" s="4" t="s">
        <v>425</v>
      </c>
      <c r="D320" s="17">
        <v>60000</v>
      </c>
      <c r="E320" s="4"/>
      <c r="F320" s="9"/>
      <c r="G320" s="19">
        <f t="shared" si="17"/>
        <v>60000</v>
      </c>
      <c r="H320" s="4"/>
      <c r="I320" s="46"/>
    </row>
    <row r="321" spans="1:9" s="20" customFormat="1" ht="63" hidden="1">
      <c r="A321" s="203"/>
      <c r="B321" s="204"/>
      <c r="C321" s="4" t="s">
        <v>392</v>
      </c>
      <c r="D321" s="17">
        <v>3500</v>
      </c>
      <c r="E321" s="4"/>
      <c r="F321" s="9"/>
      <c r="G321" s="19">
        <f t="shared" si="17"/>
        <v>3500</v>
      </c>
      <c r="H321" s="4"/>
      <c r="I321" s="46"/>
    </row>
    <row r="322" spans="1:9" s="20" customFormat="1" ht="24.75" customHeight="1" hidden="1">
      <c r="A322" s="203"/>
      <c r="B322" s="204"/>
      <c r="C322" s="4"/>
      <c r="D322" s="5"/>
      <c r="E322" s="4"/>
      <c r="F322" s="9"/>
      <c r="G322" s="19">
        <f t="shared" si="17"/>
        <v>0</v>
      </c>
      <c r="H322" s="4"/>
      <c r="I322" s="46"/>
    </row>
    <row r="323" spans="1:9" s="20" customFormat="1" ht="47.25" hidden="1">
      <c r="A323" s="203"/>
      <c r="B323" s="204"/>
      <c r="C323" s="4" t="s">
        <v>390</v>
      </c>
      <c r="D323" s="17">
        <v>19000</v>
      </c>
      <c r="E323" s="4"/>
      <c r="F323" s="9"/>
      <c r="G323" s="19">
        <f t="shared" si="17"/>
        <v>19000</v>
      </c>
      <c r="H323" s="4"/>
      <c r="I323" s="46"/>
    </row>
    <row r="324" spans="1:9" s="20" customFormat="1" ht="47.25" hidden="1">
      <c r="A324" s="203"/>
      <c r="B324" s="204"/>
      <c r="C324" s="4" t="s">
        <v>454</v>
      </c>
      <c r="D324" s="17">
        <v>32792</v>
      </c>
      <c r="E324" s="4"/>
      <c r="F324" s="9"/>
      <c r="G324" s="19">
        <f t="shared" si="17"/>
        <v>32792</v>
      </c>
      <c r="H324" s="4"/>
      <c r="I324" s="46"/>
    </row>
    <row r="325" spans="1:9" s="20" customFormat="1" ht="68.25" customHeight="1" hidden="1">
      <c r="A325" s="203"/>
      <c r="B325" s="204"/>
      <c r="C325" s="4" t="s">
        <v>420</v>
      </c>
      <c r="D325" s="17">
        <v>2034</v>
      </c>
      <c r="E325" s="4"/>
      <c r="F325" s="9"/>
      <c r="G325" s="19">
        <f t="shared" si="17"/>
        <v>2034</v>
      </c>
      <c r="H325" s="4"/>
      <c r="I325" s="46"/>
    </row>
    <row r="326" spans="1:11" s="34" customFormat="1" ht="15.75" hidden="1">
      <c r="A326" s="23"/>
      <c r="B326" s="23" t="s">
        <v>101</v>
      </c>
      <c r="C326" s="23"/>
      <c r="D326" s="28">
        <f>D11+D31+D73+D97+D125+D148+D153+D155+D185+D188+D196+D199+D204+D216+D221+D227+D233+D237+D252+D264+D276+D286+D302+D314</f>
        <v>220295134</v>
      </c>
      <c r="E326" s="27"/>
      <c r="F326" s="28">
        <f>F11+F31+F73+F97+F125+F148+F153+F155+F185+F188+F196+F199+F204+F216+F221+F227+F233+F237+F252+F264+F276+F286+F302+F314</f>
        <v>205915535</v>
      </c>
      <c r="G326" s="28">
        <f>D326+F326</f>
        <v>426210669</v>
      </c>
      <c r="H326" s="9"/>
      <c r="I326" s="46"/>
      <c r="K326" s="45"/>
    </row>
    <row r="327" spans="1:8" ht="15" customHeight="1" hidden="1">
      <c r="A327" s="65"/>
      <c r="B327" s="65"/>
      <c r="C327" s="65"/>
      <c r="D327" s="65"/>
      <c r="E327" s="65"/>
      <c r="F327" s="65"/>
      <c r="G327" s="65"/>
      <c r="H327" s="63"/>
    </row>
    <row r="328" spans="1:6" s="11" customFormat="1" ht="35.25" customHeight="1" hidden="1">
      <c r="A328" s="200" t="s">
        <v>242</v>
      </c>
      <c r="B328" s="200"/>
      <c r="C328" s="66"/>
      <c r="D328" s="67"/>
      <c r="E328" s="54"/>
      <c r="F328" s="57" t="s">
        <v>243</v>
      </c>
    </row>
    <row r="329" spans="4:7" ht="18" customHeight="1" hidden="1">
      <c r="D329" s="10"/>
      <c r="F329" s="34"/>
      <c r="G329" s="45"/>
    </row>
    <row r="330" spans="4:7" ht="18" customHeight="1" hidden="1">
      <c r="D330" s="10"/>
      <c r="F330" s="34"/>
      <c r="G330" s="45"/>
    </row>
    <row r="331" ht="18" customHeight="1" hidden="1"/>
    <row r="332" spans="4:9" ht="18" customHeight="1" hidden="1">
      <c r="D332" s="10"/>
      <c r="F332" s="41"/>
      <c r="G332" s="42"/>
      <c r="H332" s="41"/>
      <c r="I332" s="10"/>
    </row>
    <row r="333" spans="4:6" ht="18" customHeight="1" hidden="1">
      <c r="D333" s="10"/>
      <c r="F333" s="10"/>
    </row>
    <row r="334" spans="1:6" ht="18" customHeight="1" hidden="1">
      <c r="A334" s="1">
        <v>250404</v>
      </c>
      <c r="B334" s="1" t="s">
        <v>395</v>
      </c>
      <c r="D334" s="10">
        <f>D318+D307+D294+D280+D269+D258+D244</f>
        <v>803906</v>
      </c>
      <c r="F334" s="10"/>
    </row>
    <row r="335" spans="2:6" ht="15.75" hidden="1">
      <c r="B335" s="1" t="s">
        <v>396</v>
      </c>
      <c r="D335" s="10">
        <f>D321+D310+D298+D283+D272+D261+D247</f>
        <v>25756</v>
      </c>
      <c r="F335" s="10"/>
    </row>
    <row r="336" spans="2:6" ht="15.75" hidden="1">
      <c r="B336" s="1" t="s">
        <v>397</v>
      </c>
      <c r="C336" s="3"/>
      <c r="D336" s="10">
        <f>D323+D311+D299+D284+D274+D263+D250</f>
        <v>167225</v>
      </c>
      <c r="F336" s="10"/>
    </row>
    <row r="337" spans="2:6" ht="15.75" hidden="1">
      <c r="B337" s="1" t="s">
        <v>398</v>
      </c>
      <c r="D337" s="10">
        <f>D320+D309+D297+D282+D271+D260+D246</f>
        <v>496776</v>
      </c>
      <c r="F337" s="10"/>
    </row>
    <row r="338" spans="2:6" ht="15.75" hidden="1">
      <c r="B338" s="1" t="s">
        <v>399</v>
      </c>
      <c r="D338" s="10">
        <f>D325+D313+D301+D285+D275+D251+D315+D288+D229+D220+D187+D157+D143+D139+D137+D134+D131+D128+D109+D101++D100+D90+D79+D74+D13+D136+D33+D36+D42+D44+D50+D51+D53+D55+D56+D63+D65</f>
        <v>757108</v>
      </c>
      <c r="F338" s="10"/>
    </row>
    <row r="339" spans="2:6" ht="15.75" hidden="1">
      <c r="B339" s="1" t="s">
        <v>400</v>
      </c>
      <c r="D339" s="10">
        <f>D324+D312+D300+D281+D270+D262+D245</f>
        <v>247576</v>
      </c>
      <c r="F339" s="10"/>
    </row>
    <row r="340" ht="15.75" hidden="1">
      <c r="F340" s="10"/>
    </row>
    <row r="341" ht="15.75" hidden="1">
      <c r="F341" s="10"/>
    </row>
    <row r="342" spans="2:6" ht="15.75" hidden="1">
      <c r="B342" s="1" t="s">
        <v>403</v>
      </c>
      <c r="D342" s="10">
        <f>D151</f>
        <v>120711</v>
      </c>
      <c r="F342" s="10"/>
    </row>
    <row r="343" spans="2:6" ht="15.75" hidden="1">
      <c r="B343" s="1" t="s">
        <v>404</v>
      </c>
      <c r="D343" s="10">
        <f>D106+D180</f>
        <v>680000</v>
      </c>
      <c r="E343" s="1" t="s">
        <v>405</v>
      </c>
      <c r="F343" s="10">
        <f>F106</f>
        <v>24192</v>
      </c>
    </row>
    <row r="344" spans="2:6" ht="15.75" hidden="1">
      <c r="B344" s="1" t="s">
        <v>406</v>
      </c>
      <c r="D344" s="10">
        <f>D232</f>
        <v>33000</v>
      </c>
      <c r="F344" s="10"/>
    </row>
    <row r="345" spans="2:6" ht="15.75" hidden="1">
      <c r="B345" s="1" t="s">
        <v>408</v>
      </c>
      <c r="D345" s="10">
        <f>D26</f>
        <v>3348800</v>
      </c>
      <c r="F345" s="10"/>
    </row>
    <row r="346" spans="2:6" ht="15.75" hidden="1">
      <c r="B346" s="1" t="s">
        <v>411</v>
      </c>
      <c r="D346" s="10">
        <f>D14</f>
        <v>480000</v>
      </c>
      <c r="F346" s="10"/>
    </row>
    <row r="347" spans="2:6" ht="15.75" hidden="1">
      <c r="B347" s="1" t="s">
        <v>414</v>
      </c>
      <c r="D347" s="10">
        <f>D23</f>
        <v>304955</v>
      </c>
      <c r="F347" s="10"/>
    </row>
    <row r="348" spans="2:6" ht="15.75" hidden="1">
      <c r="B348" s="1" t="s">
        <v>415</v>
      </c>
      <c r="D348" s="10">
        <f>D24</f>
        <v>209200</v>
      </c>
      <c r="F348" s="10">
        <f>F16</f>
        <v>415760</v>
      </c>
    </row>
    <row r="349" spans="2:6" ht="15.75" hidden="1">
      <c r="B349" s="1" t="s">
        <v>416</v>
      </c>
      <c r="D349" s="10">
        <f>D206</f>
        <v>2300000</v>
      </c>
      <c r="F349" s="10"/>
    </row>
    <row r="350" spans="2:8" ht="15.75" hidden="1">
      <c r="B350" s="1" t="s">
        <v>417</v>
      </c>
      <c r="D350" s="10">
        <f>D152</f>
        <v>108000</v>
      </c>
      <c r="E350" s="7"/>
      <c r="F350" s="10"/>
      <c r="H350" s="10"/>
    </row>
    <row r="351" spans="2:6" ht="15.75" hidden="1">
      <c r="B351" s="1" t="s">
        <v>422</v>
      </c>
      <c r="D351" s="10">
        <f>D190</f>
        <v>24055</v>
      </c>
      <c r="F351" s="1">
        <f>F190</f>
        <v>1550464</v>
      </c>
    </row>
    <row r="352" spans="2:7" ht="15.75" hidden="1">
      <c r="B352" s="1" t="s">
        <v>423</v>
      </c>
      <c r="C352" s="43"/>
      <c r="D352" s="44"/>
      <c r="E352" s="43"/>
      <c r="F352" s="10">
        <f>F191</f>
        <v>100487</v>
      </c>
      <c r="G352" s="43"/>
    </row>
    <row r="353" spans="2:7" ht="15.75" hidden="1">
      <c r="B353" s="1" t="s">
        <v>424</v>
      </c>
      <c r="C353" s="43"/>
      <c r="D353" s="10">
        <f>D192</f>
        <v>2910648</v>
      </c>
      <c r="E353" s="43"/>
      <c r="F353" s="44"/>
      <c r="G353" s="43"/>
    </row>
    <row r="354" spans="2:7" ht="15.75" hidden="1">
      <c r="B354" s="1" t="s">
        <v>418</v>
      </c>
      <c r="C354" s="43"/>
      <c r="D354" s="43"/>
      <c r="E354" s="43"/>
      <c r="F354" s="10">
        <f>F306+F293+F21</f>
        <v>300000</v>
      </c>
      <c r="G354" s="44"/>
    </row>
    <row r="355" ht="15.75" hidden="1"/>
    <row r="356" ht="15.75" hidden="1"/>
    <row r="357" spans="2:6" ht="15.75" hidden="1">
      <c r="B357" s="1" t="s">
        <v>426</v>
      </c>
      <c r="D357" s="10">
        <f>D324+D317+D312+D305+D300+D290+D281+D278+D270+D266+D262+D254+D245+D241+D179+D166+D162+D159+D158</f>
        <v>102708451</v>
      </c>
      <c r="F357" s="10">
        <f>F305+F304+F279+F278+F267+F266+F254+F235+F179+F176+F174+F169+F166+F165+F162</f>
        <v>76723720</v>
      </c>
    </row>
    <row r="358" ht="15.75" hidden="1"/>
    <row r="359" spans="2:6" ht="15.75" hidden="1">
      <c r="B359" s="1" t="s">
        <v>427</v>
      </c>
      <c r="D359" s="10">
        <f>D34+D37+D43+D54</f>
        <v>11151843</v>
      </c>
      <c r="F359" s="10">
        <f>F34+F37+F54+F67</f>
        <v>15404849</v>
      </c>
    </row>
    <row r="360" spans="2:4" ht="15.75" hidden="1">
      <c r="B360" s="1" t="s">
        <v>428</v>
      </c>
      <c r="D360" s="10">
        <f>D40+D58</f>
        <v>4900252</v>
      </c>
    </row>
    <row r="361" spans="2:4" ht="15.75" hidden="1">
      <c r="B361" s="1" t="s">
        <v>429</v>
      </c>
      <c r="D361" s="10">
        <f>D46</f>
        <v>29827597</v>
      </c>
    </row>
    <row r="362" spans="2:6" ht="15.75" hidden="1">
      <c r="B362" s="1" t="s">
        <v>430</v>
      </c>
      <c r="D362" s="10">
        <f>D59+D60+D61+D66</f>
        <v>1199500</v>
      </c>
      <c r="F362" s="10">
        <f>F66+F69</f>
        <v>1108725</v>
      </c>
    </row>
    <row r="363" spans="2:6" ht="15.75" hidden="1">
      <c r="B363" s="1" t="s">
        <v>431</v>
      </c>
      <c r="D363" s="10">
        <f>D57+D71+D72</f>
        <v>2578544</v>
      </c>
      <c r="F363" s="1">
        <f>F71</f>
        <v>31358</v>
      </c>
    </row>
    <row r="364" ht="15.75" hidden="1"/>
    <row r="365" ht="15.75" hidden="1"/>
    <row r="366" spans="2:6" ht="15.75" hidden="1">
      <c r="B366" s="1" t="s">
        <v>432</v>
      </c>
      <c r="D366" s="10">
        <f>D75+D80+D83+D86+D89</f>
        <v>0</v>
      </c>
      <c r="F366" s="10">
        <f>F75+F80+F83+F86+F89+F94+F236</f>
        <v>22518298</v>
      </c>
    </row>
    <row r="367" spans="2:6" ht="15.75" hidden="1">
      <c r="B367" s="1" t="s">
        <v>433</v>
      </c>
      <c r="D367" s="10">
        <f>D127+D129+D132+D135+D141</f>
        <v>5504638</v>
      </c>
      <c r="F367" s="10">
        <f>F127+F129+F132+F135+F141+F145</f>
        <v>4137302</v>
      </c>
    </row>
    <row r="368" spans="2:4" ht="15.75" hidden="1">
      <c r="B368" s="1" t="s">
        <v>434</v>
      </c>
      <c r="D368" s="10">
        <f>D138</f>
        <v>1114809</v>
      </c>
    </row>
    <row r="369" spans="2:6" ht="15.75" hidden="1">
      <c r="B369" s="1" t="s">
        <v>435</v>
      </c>
      <c r="D369" s="1">
        <f>D140</f>
        <v>1693819</v>
      </c>
      <c r="F369" s="1">
        <f>F140</f>
        <v>42020</v>
      </c>
    </row>
    <row r="370" ht="15.75" hidden="1"/>
    <row r="371" spans="2:6" ht="15.75" hidden="1">
      <c r="B371" s="1" t="s">
        <v>436</v>
      </c>
      <c r="D371" s="10">
        <f>D105+D110+D112+D117+D119+D120+D103</f>
        <v>13778297</v>
      </c>
      <c r="F371" s="10">
        <f>F105+F115</f>
        <v>4271341</v>
      </c>
    </row>
    <row r="372" spans="2:6" ht="15.75" hidden="1">
      <c r="B372" s="1" t="s">
        <v>437</v>
      </c>
      <c r="F372" s="10">
        <f>F114</f>
        <v>0</v>
      </c>
    </row>
    <row r="373" spans="4:6" ht="15.75" hidden="1">
      <c r="D373" s="10"/>
      <c r="F373" s="10"/>
    </row>
    <row r="374" ht="15.75" hidden="1">
      <c r="F374" s="10"/>
    </row>
    <row r="376" spans="2:6" ht="15.75">
      <c r="B376" s="1" t="s">
        <v>438</v>
      </c>
      <c r="D376" s="10">
        <f>D207+D213</f>
        <v>10122723</v>
      </c>
      <c r="F376" s="10">
        <f>F210</f>
        <v>66000</v>
      </c>
    </row>
    <row r="377" spans="2:6" ht="15.75">
      <c r="B377" s="1" t="s">
        <v>439</v>
      </c>
      <c r="D377" s="10">
        <f>D214</f>
        <v>2425000</v>
      </c>
      <c r="F377" s="10">
        <f>F211+F213</f>
        <v>2053987</v>
      </c>
    </row>
    <row r="378" spans="2:6" ht="15.75">
      <c r="B378" s="1" t="s">
        <v>440</v>
      </c>
      <c r="D378" s="10">
        <f>D215</f>
        <v>0</v>
      </c>
      <c r="F378" s="10">
        <f>F215</f>
        <v>0</v>
      </c>
    </row>
    <row r="380" spans="2:6" ht="15.75">
      <c r="B380" s="1" t="s">
        <v>441</v>
      </c>
      <c r="F380" s="10">
        <f>F201+F178+F70</f>
        <v>16840000</v>
      </c>
    </row>
  </sheetData>
  <sheetProtection/>
  <mergeCells count="127">
    <mergeCell ref="A5:G5"/>
    <mergeCell ref="B8:B9"/>
    <mergeCell ref="C8:D8"/>
    <mergeCell ref="E8:F8"/>
    <mergeCell ref="B52:B53"/>
    <mergeCell ref="A12:A13"/>
    <mergeCell ref="B12:B13"/>
    <mergeCell ref="A14:A15"/>
    <mergeCell ref="B14:B15"/>
    <mergeCell ref="B46:B50"/>
    <mergeCell ref="B54:B55"/>
    <mergeCell ref="A46:A50"/>
    <mergeCell ref="A34:A36"/>
    <mergeCell ref="B34:B36"/>
    <mergeCell ref="A37:A42"/>
    <mergeCell ref="B37:B42"/>
    <mergeCell ref="A43:A45"/>
    <mergeCell ref="B43:B45"/>
    <mergeCell ref="A52:A53"/>
    <mergeCell ref="C16:C19"/>
    <mergeCell ref="A23:A30"/>
    <mergeCell ref="B23:B30"/>
    <mergeCell ref="A16:A19"/>
    <mergeCell ref="B16:B19"/>
    <mergeCell ref="A98:A100"/>
    <mergeCell ref="B98:B100"/>
    <mergeCell ref="A86:A88"/>
    <mergeCell ref="B86:B88"/>
    <mergeCell ref="A89:A90"/>
    <mergeCell ref="B89:B90"/>
    <mergeCell ref="A61:A63"/>
    <mergeCell ref="B61:B63"/>
    <mergeCell ref="A54:A55"/>
    <mergeCell ref="B83:B85"/>
    <mergeCell ref="A83:A85"/>
    <mergeCell ref="A65:A66"/>
    <mergeCell ref="B65:B66"/>
    <mergeCell ref="A67:A69"/>
    <mergeCell ref="B67:B69"/>
    <mergeCell ref="C71:C72"/>
    <mergeCell ref="A75:A79"/>
    <mergeCell ref="B75:B79"/>
    <mergeCell ref="A80:A82"/>
    <mergeCell ref="B80:B82"/>
    <mergeCell ref="A101:A102"/>
    <mergeCell ref="B101:B102"/>
    <mergeCell ref="A105:A109"/>
    <mergeCell ref="B105:B109"/>
    <mergeCell ref="A95:A96"/>
    <mergeCell ref="B95:B96"/>
    <mergeCell ref="A129:A131"/>
    <mergeCell ref="B129:B131"/>
    <mergeCell ref="A110:A111"/>
    <mergeCell ref="B110:B111"/>
    <mergeCell ref="A112:A113"/>
    <mergeCell ref="B112:B113"/>
    <mergeCell ref="A127:A128"/>
    <mergeCell ref="B127:B128"/>
    <mergeCell ref="A159:A160"/>
    <mergeCell ref="B159:B160"/>
    <mergeCell ref="A132:A134"/>
    <mergeCell ref="B132:B134"/>
    <mergeCell ref="A135:A137"/>
    <mergeCell ref="B135:B137"/>
    <mergeCell ref="A156:A157"/>
    <mergeCell ref="B156:B157"/>
    <mergeCell ref="A114:A115"/>
    <mergeCell ref="B114:B115"/>
    <mergeCell ref="B116:B118"/>
    <mergeCell ref="A117:A118"/>
    <mergeCell ref="A138:A139"/>
    <mergeCell ref="B138:B139"/>
    <mergeCell ref="A140:A144"/>
    <mergeCell ref="B140:B144"/>
    <mergeCell ref="A208:A209"/>
    <mergeCell ref="B208:B209"/>
    <mergeCell ref="A171:A173"/>
    <mergeCell ref="B171:B173"/>
    <mergeCell ref="A176:A177"/>
    <mergeCell ref="B176:B177"/>
    <mergeCell ref="A161:A163"/>
    <mergeCell ref="B161:B163"/>
    <mergeCell ref="A169:A170"/>
    <mergeCell ref="B169:B170"/>
    <mergeCell ref="A166:A167"/>
    <mergeCell ref="B166:B167"/>
    <mergeCell ref="A269:A275"/>
    <mergeCell ref="B269:B275"/>
    <mergeCell ref="A258:A263"/>
    <mergeCell ref="B258:B263"/>
    <mergeCell ref="A191:A193"/>
    <mergeCell ref="B191:B193"/>
    <mergeCell ref="A179:A180"/>
    <mergeCell ref="B179:B180"/>
    <mergeCell ref="A239:A240"/>
    <mergeCell ref="C210:C212"/>
    <mergeCell ref="D211:D212"/>
    <mergeCell ref="A214:A215"/>
    <mergeCell ref="B214:B215"/>
    <mergeCell ref="A219:A220"/>
    <mergeCell ref="B219:B220"/>
    <mergeCell ref="A254:A255"/>
    <mergeCell ref="B254:B255"/>
    <mergeCell ref="A244:A251"/>
    <mergeCell ref="B244:B251"/>
    <mergeCell ref="C230:C232"/>
    <mergeCell ref="A235:A236"/>
    <mergeCell ref="A210:A212"/>
    <mergeCell ref="B210:B212"/>
    <mergeCell ref="B235:B236"/>
    <mergeCell ref="B280:B285"/>
    <mergeCell ref="A315:A316"/>
    <mergeCell ref="B315:B316"/>
    <mergeCell ref="A290:A291"/>
    <mergeCell ref="B290:B291"/>
    <mergeCell ref="B288:B289"/>
    <mergeCell ref="A280:A285"/>
    <mergeCell ref="A328:B328"/>
    <mergeCell ref="H8:H9"/>
    <mergeCell ref="A294:A301"/>
    <mergeCell ref="B294:B301"/>
    <mergeCell ref="A307:A313"/>
    <mergeCell ref="B307:B313"/>
    <mergeCell ref="A318:A325"/>
    <mergeCell ref="B318:B325"/>
    <mergeCell ref="B239:B240"/>
    <mergeCell ref="A288:A289"/>
  </mergeCells>
  <printOptions/>
  <pageMargins left="0.3937007874015748" right="0.2362204724409449" top="0.3937007874015748" bottom="0.31496062992125984" header="0.2362204724409449" footer="0.2362204724409449"/>
  <pageSetup fitToHeight="16" horizontalDpi="600" verticalDpi="600" orientation="portrait" paperSize="9" scale="6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5"/>
  <sheetViews>
    <sheetView view="pageBreakPreview" zoomScale="75" zoomScaleSheetLayoutView="75" zoomScalePageLayoutView="0" workbookViewId="0" topLeftCell="A1">
      <selection activeCell="C14" sqref="C14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customWidth="1"/>
    <col min="4" max="4" width="12.57421875" style="1" customWidth="1"/>
    <col min="5" max="5" width="62.7109375" style="1" customWidth="1"/>
    <col min="6" max="6" width="13.421875" style="1" customWidth="1"/>
    <col min="7" max="7" width="15.28125" style="1" customWidth="1"/>
    <col min="8" max="8" width="16.28125" style="1" customWidth="1"/>
    <col min="9" max="9" width="14.421875" style="1" customWidth="1"/>
    <col min="10" max="10" width="11.00390625" style="1" bestFit="1" customWidth="1"/>
    <col min="11" max="11" width="12.140625" style="1" bestFit="1" customWidth="1"/>
    <col min="12" max="16384" width="9.140625" style="1" customWidth="1"/>
  </cols>
  <sheetData>
    <row r="1" spans="5:7" ht="55.5" customHeight="1">
      <c r="E1" s="14" t="s">
        <v>239</v>
      </c>
      <c r="G1" s="13"/>
    </row>
    <row r="2" spans="5:7" ht="28.5" customHeight="1">
      <c r="E2" s="14" t="s">
        <v>240</v>
      </c>
      <c r="G2" s="13"/>
    </row>
    <row r="3" spans="3:7" ht="39.75" customHeight="1">
      <c r="C3" s="8"/>
      <c r="E3" s="14" t="s">
        <v>359</v>
      </c>
      <c r="G3" s="13"/>
    </row>
    <row r="5" spans="1:10" s="6" customFormat="1" ht="28.5" customHeight="1">
      <c r="A5" s="214" t="s">
        <v>389</v>
      </c>
      <c r="B5" s="214"/>
      <c r="C5" s="214"/>
      <c r="D5" s="214"/>
      <c r="E5" s="214"/>
      <c r="F5" s="214"/>
      <c r="G5" s="214"/>
      <c r="H5" s="49"/>
      <c r="J5" s="50"/>
    </row>
    <row r="6" spans="1:4" ht="5.25" customHeight="1">
      <c r="A6" s="63"/>
      <c r="B6" s="63"/>
      <c r="C6" s="63"/>
      <c r="D6" s="63"/>
    </row>
    <row r="7" spans="1:8" ht="16.5" customHeight="1">
      <c r="A7" s="63"/>
      <c r="B7" s="63"/>
      <c r="C7" s="63"/>
      <c r="D7" s="63"/>
      <c r="E7" s="63"/>
      <c r="F7" s="63"/>
      <c r="G7" s="68" t="s">
        <v>100</v>
      </c>
      <c r="H7" s="63"/>
    </row>
    <row r="8" spans="1:8" s="2" customFormat="1" ht="45.75" customHeight="1">
      <c r="A8" s="64" t="s">
        <v>69</v>
      </c>
      <c r="B8" s="204" t="s">
        <v>71</v>
      </c>
      <c r="C8" s="204" t="s">
        <v>95</v>
      </c>
      <c r="D8" s="204"/>
      <c r="E8" s="204" t="s">
        <v>98</v>
      </c>
      <c r="F8" s="204"/>
      <c r="G8" s="4" t="s">
        <v>99</v>
      </c>
      <c r="H8" s="20"/>
    </row>
    <row r="9" spans="1:8" s="2" customFormat="1" ht="57.75" customHeight="1">
      <c r="A9" s="64" t="s">
        <v>70</v>
      </c>
      <c r="B9" s="204"/>
      <c r="C9" s="4" t="s">
        <v>96</v>
      </c>
      <c r="D9" s="4" t="s">
        <v>97</v>
      </c>
      <c r="E9" s="4" t="s">
        <v>96</v>
      </c>
      <c r="F9" s="4" t="s">
        <v>97</v>
      </c>
      <c r="G9" s="4" t="s">
        <v>97</v>
      </c>
      <c r="H9" s="20"/>
    </row>
    <row r="10" spans="1:8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0"/>
    </row>
    <row r="11" spans="1:9" s="2" customFormat="1" ht="31.5">
      <c r="A11" s="22" t="s">
        <v>175</v>
      </c>
      <c r="B11" s="23" t="s">
        <v>73</v>
      </c>
      <c r="C11" s="4"/>
      <c r="D11" s="24">
        <f>D13+D14+D23+D24+D26+D28+D29+D30</f>
        <v>0</v>
      </c>
      <c r="E11" s="4"/>
      <c r="F11" s="28">
        <f>F12+F15+F16+F20+F21+F23+F24+F26+F28+F29+F30</f>
        <v>0</v>
      </c>
      <c r="G11" s="28">
        <f>D11+F11</f>
        <v>0</v>
      </c>
      <c r="H11" s="47"/>
      <c r="I11" s="46"/>
    </row>
    <row r="12" spans="1:9" s="20" customFormat="1" ht="47.25">
      <c r="A12" s="203" t="s">
        <v>207</v>
      </c>
      <c r="B12" s="204" t="s">
        <v>208</v>
      </c>
      <c r="C12" s="4"/>
      <c r="D12" s="17"/>
      <c r="E12" s="4" t="s">
        <v>367</v>
      </c>
      <c r="F12" s="19"/>
      <c r="G12" s="19">
        <f>D12+F12</f>
        <v>0</v>
      </c>
      <c r="I12" s="46"/>
    </row>
    <row r="13" spans="1:9" s="20" customFormat="1" ht="68.25" customHeight="1">
      <c r="A13" s="203"/>
      <c r="B13" s="204"/>
      <c r="C13" s="61" t="s">
        <v>334</v>
      </c>
      <c r="D13" s="17"/>
      <c r="E13" s="4"/>
      <c r="F13" s="19"/>
      <c r="G13" s="19">
        <f aca="true" t="shared" si="0" ref="G13:G25">D13+F13</f>
        <v>0</v>
      </c>
      <c r="I13" s="46"/>
    </row>
    <row r="14" spans="1:9" s="20" customFormat="1" ht="51" customHeight="1">
      <c r="A14" s="203" t="s">
        <v>113</v>
      </c>
      <c r="B14" s="204" t="s">
        <v>139</v>
      </c>
      <c r="C14" s="4" t="s">
        <v>370</v>
      </c>
      <c r="D14" s="17"/>
      <c r="E14" s="4"/>
      <c r="F14" s="9"/>
      <c r="G14" s="19">
        <f t="shared" si="0"/>
        <v>0</v>
      </c>
      <c r="I14" s="46"/>
    </row>
    <row r="15" spans="1:9" s="20" customFormat="1" ht="31.5">
      <c r="A15" s="203"/>
      <c r="B15" s="204"/>
      <c r="C15" s="4"/>
      <c r="D15" s="17"/>
      <c r="E15" s="35" t="s">
        <v>369</v>
      </c>
      <c r="F15" s="36"/>
      <c r="G15" s="59">
        <f t="shared" si="0"/>
        <v>0</v>
      </c>
      <c r="I15" s="46"/>
    </row>
    <row r="16" spans="1:9" s="20" customFormat="1" ht="63">
      <c r="A16" s="203" t="s">
        <v>119</v>
      </c>
      <c r="B16" s="204" t="s">
        <v>120</v>
      </c>
      <c r="C16" s="204"/>
      <c r="D16" s="17"/>
      <c r="E16" s="4" t="s">
        <v>368</v>
      </c>
      <c r="F16" s="19"/>
      <c r="G16" s="19">
        <f t="shared" si="0"/>
        <v>0</v>
      </c>
      <c r="I16" s="46"/>
    </row>
    <row r="17" spans="1:9" s="20" customFormat="1" ht="44.25" customHeight="1" hidden="1">
      <c r="A17" s="203"/>
      <c r="B17" s="204"/>
      <c r="C17" s="204"/>
      <c r="D17" s="5"/>
      <c r="E17" s="4" t="s">
        <v>170</v>
      </c>
      <c r="F17" s="9"/>
      <c r="G17" s="19">
        <f t="shared" si="0"/>
        <v>0</v>
      </c>
      <c r="I17" s="46"/>
    </row>
    <row r="18" spans="1:9" s="20" customFormat="1" ht="47.25" customHeight="1" hidden="1">
      <c r="A18" s="203"/>
      <c r="B18" s="204"/>
      <c r="C18" s="204"/>
      <c r="D18" s="5"/>
      <c r="E18" s="4" t="s">
        <v>169</v>
      </c>
      <c r="F18" s="19">
        <v>0</v>
      </c>
      <c r="G18" s="19">
        <f t="shared" si="0"/>
        <v>0</v>
      </c>
      <c r="I18" s="46"/>
    </row>
    <row r="19" spans="1:9" s="20" customFormat="1" ht="15.75" hidden="1">
      <c r="A19" s="203"/>
      <c r="B19" s="204"/>
      <c r="C19" s="204"/>
      <c r="D19" s="5"/>
      <c r="E19" s="4"/>
      <c r="F19" s="19">
        <v>0</v>
      </c>
      <c r="G19" s="19">
        <f t="shared" si="0"/>
        <v>0</v>
      </c>
      <c r="I19" s="46"/>
    </row>
    <row r="20" spans="1:9" s="20" customFormat="1" ht="222" customHeight="1">
      <c r="A20" s="18" t="s">
        <v>258</v>
      </c>
      <c r="B20" s="40" t="s">
        <v>259</v>
      </c>
      <c r="C20" s="4"/>
      <c r="D20" s="5"/>
      <c r="E20" s="4" t="s">
        <v>301</v>
      </c>
      <c r="F20" s="19"/>
      <c r="G20" s="19">
        <f t="shared" si="0"/>
        <v>0</v>
      </c>
      <c r="I20" s="46"/>
    </row>
    <row r="21" spans="1:9" s="20" customFormat="1" ht="46.5" customHeight="1">
      <c r="A21" s="26">
        <v>240900</v>
      </c>
      <c r="B21" s="4" t="s">
        <v>140</v>
      </c>
      <c r="C21" s="16"/>
      <c r="D21" s="15"/>
      <c r="E21" s="4" t="s">
        <v>371</v>
      </c>
      <c r="F21" s="19"/>
      <c r="G21" s="19">
        <f t="shared" si="0"/>
        <v>0</v>
      </c>
      <c r="I21" s="46"/>
    </row>
    <row r="22" spans="1:9" s="20" customFormat="1" ht="75" customHeight="1" hidden="1">
      <c r="A22" s="26">
        <v>250203</v>
      </c>
      <c r="B22" s="4" t="s">
        <v>234</v>
      </c>
      <c r="C22" s="4"/>
      <c r="D22" s="21">
        <v>0</v>
      </c>
      <c r="E22" s="4"/>
      <c r="F22" s="9"/>
      <c r="G22" s="19">
        <f t="shared" si="0"/>
        <v>0</v>
      </c>
      <c r="I22" s="46"/>
    </row>
    <row r="23" spans="1:9" s="20" customFormat="1" ht="94.5">
      <c r="A23" s="210">
        <v>250404</v>
      </c>
      <c r="B23" s="204" t="s">
        <v>127</v>
      </c>
      <c r="C23" s="4" t="s">
        <v>350</v>
      </c>
      <c r="D23" s="21">
        <v>0</v>
      </c>
      <c r="E23" s="9"/>
      <c r="F23" s="12"/>
      <c r="G23" s="19">
        <f t="shared" si="0"/>
        <v>0</v>
      </c>
      <c r="I23" s="46"/>
    </row>
    <row r="24" spans="1:9" s="20" customFormat="1" ht="63">
      <c r="A24" s="210"/>
      <c r="B24" s="204"/>
      <c r="C24" s="4" t="s">
        <v>368</v>
      </c>
      <c r="D24" s="17">
        <v>0</v>
      </c>
      <c r="E24" s="4"/>
      <c r="F24" s="19">
        <v>0</v>
      </c>
      <c r="G24" s="19">
        <f t="shared" si="0"/>
        <v>0</v>
      </c>
      <c r="I24" s="46"/>
    </row>
    <row r="25" spans="1:9" s="20" customFormat="1" ht="32.25" customHeight="1" hidden="1">
      <c r="A25" s="210"/>
      <c r="B25" s="204"/>
      <c r="C25" s="4" t="s">
        <v>171</v>
      </c>
      <c r="D25" s="17">
        <v>120000</v>
      </c>
      <c r="E25" s="4" t="s">
        <v>171</v>
      </c>
      <c r="F25" s="19">
        <v>0</v>
      </c>
      <c r="G25" s="19">
        <f t="shared" si="0"/>
        <v>120000</v>
      </c>
      <c r="I25" s="46"/>
    </row>
    <row r="26" spans="1:9" s="20" customFormat="1" ht="65.25" customHeight="1">
      <c r="A26" s="210"/>
      <c r="B26" s="204"/>
      <c r="C26" s="4" t="s">
        <v>372</v>
      </c>
      <c r="D26" s="17">
        <v>0</v>
      </c>
      <c r="E26" s="4"/>
      <c r="F26" s="19">
        <v>0</v>
      </c>
      <c r="G26" s="19">
        <f aca="true" t="shared" si="1" ref="G26:G31">D26+F26</f>
        <v>0</v>
      </c>
      <c r="I26" s="46"/>
    </row>
    <row r="27" spans="1:9" s="20" customFormat="1" ht="38.25" customHeight="1" hidden="1">
      <c r="A27" s="210"/>
      <c r="B27" s="204"/>
      <c r="C27" s="4" t="s">
        <v>238</v>
      </c>
      <c r="D27" s="17">
        <v>0</v>
      </c>
      <c r="E27" s="4"/>
      <c r="F27" s="19"/>
      <c r="G27" s="19">
        <f t="shared" si="1"/>
        <v>0</v>
      </c>
      <c r="I27" s="46"/>
    </row>
    <row r="28" spans="1:9" s="20" customFormat="1" ht="46.5" customHeight="1">
      <c r="A28" s="210"/>
      <c r="B28" s="204"/>
      <c r="C28" s="35" t="s">
        <v>369</v>
      </c>
      <c r="D28" s="38">
        <v>0</v>
      </c>
      <c r="E28" s="35"/>
      <c r="F28" s="36"/>
      <c r="G28" s="59">
        <f t="shared" si="1"/>
        <v>0</v>
      </c>
      <c r="I28" s="46"/>
    </row>
    <row r="29" spans="1:9" s="20" customFormat="1" ht="62.25" customHeight="1">
      <c r="A29" s="210"/>
      <c r="B29" s="204"/>
      <c r="C29" s="4" t="s">
        <v>366</v>
      </c>
      <c r="D29" s="17"/>
      <c r="E29" s="35"/>
      <c r="F29" s="36"/>
      <c r="G29" s="19">
        <f t="shared" si="1"/>
        <v>0</v>
      </c>
      <c r="I29" s="46"/>
    </row>
    <row r="30" spans="1:9" s="20" customFormat="1" ht="63">
      <c r="A30" s="210"/>
      <c r="B30" s="204"/>
      <c r="C30" s="4" t="s">
        <v>301</v>
      </c>
      <c r="D30" s="17"/>
      <c r="E30" s="4"/>
      <c r="F30" s="19"/>
      <c r="G30" s="19">
        <f t="shared" si="1"/>
        <v>0</v>
      </c>
      <c r="I30" s="46"/>
    </row>
    <row r="31" spans="1:9" s="20" customFormat="1" ht="47.25">
      <c r="A31" s="22" t="s">
        <v>183</v>
      </c>
      <c r="B31" s="23" t="s">
        <v>84</v>
      </c>
      <c r="C31" s="4"/>
      <c r="D31" s="24">
        <f>D33+D34+D35+D36+D37+D40+D41+D42+D44++D46+D49+D50+D51+D52+D53+D54+D55+D56+D57+D58+D59+D60+D61+D62+D63+D68+D69</f>
        <v>0</v>
      </c>
      <c r="E31" s="5"/>
      <c r="F31" s="24">
        <f>F34+F35+F37+F41+F45+F46+F49+F59+F52+F63+F64+F65+F66+F67+F68</f>
        <v>0</v>
      </c>
      <c r="G31" s="24">
        <f t="shared" si="1"/>
        <v>0</v>
      </c>
      <c r="H31" s="47"/>
      <c r="I31" s="46"/>
    </row>
    <row r="32" spans="1:9" s="20" customFormat="1" ht="44.25" customHeight="1" hidden="1">
      <c r="A32" s="18" t="s">
        <v>207</v>
      </c>
      <c r="B32" s="4" t="s">
        <v>208</v>
      </c>
      <c r="C32" s="4" t="s">
        <v>232</v>
      </c>
      <c r="D32" s="17"/>
      <c r="E32" s="4"/>
      <c r="F32" s="19"/>
      <c r="G32" s="9">
        <v>0</v>
      </c>
      <c r="I32" s="46"/>
    </row>
    <row r="33" spans="1:9" s="20" customFormat="1" ht="66" customHeight="1">
      <c r="A33" s="18" t="s">
        <v>207</v>
      </c>
      <c r="B33" s="4" t="s">
        <v>208</v>
      </c>
      <c r="C33" s="58" t="s">
        <v>334</v>
      </c>
      <c r="D33" s="17">
        <v>0</v>
      </c>
      <c r="E33" s="4"/>
      <c r="F33" s="19"/>
      <c r="G33" s="19">
        <f>D33+F33</f>
        <v>0</v>
      </c>
      <c r="I33" s="46"/>
    </row>
    <row r="34" spans="1:9" s="20" customFormat="1" ht="33" customHeight="1">
      <c r="A34" s="203" t="s">
        <v>102</v>
      </c>
      <c r="B34" s="204" t="s">
        <v>142</v>
      </c>
      <c r="C34" s="58" t="s">
        <v>326</v>
      </c>
      <c r="D34" s="17">
        <v>0</v>
      </c>
      <c r="E34" s="4" t="s">
        <v>373</v>
      </c>
      <c r="F34" s="19">
        <v>0</v>
      </c>
      <c r="G34" s="19">
        <f>D34+F34</f>
        <v>0</v>
      </c>
      <c r="H34" s="47"/>
      <c r="I34" s="46"/>
    </row>
    <row r="35" spans="1:9" s="20" customFormat="1" ht="47.25">
      <c r="A35" s="203"/>
      <c r="B35" s="204"/>
      <c r="C35" s="35" t="s">
        <v>311</v>
      </c>
      <c r="D35" s="38">
        <v>0</v>
      </c>
      <c r="E35" s="35" t="s">
        <v>311</v>
      </c>
      <c r="F35" s="36">
        <v>0</v>
      </c>
      <c r="G35" s="19">
        <f>D35+F35</f>
        <v>0</v>
      </c>
      <c r="I35" s="46"/>
    </row>
    <row r="36" spans="1:9" s="20" customFormat="1" ht="71.25" customHeight="1">
      <c r="A36" s="203"/>
      <c r="B36" s="204"/>
      <c r="C36" s="58" t="s">
        <v>334</v>
      </c>
      <c r="D36" s="17">
        <v>0</v>
      </c>
      <c r="E36" s="35"/>
      <c r="F36" s="36"/>
      <c r="G36" s="19">
        <f>D36+F36</f>
        <v>0</v>
      </c>
      <c r="I36" s="46"/>
    </row>
    <row r="37" spans="1:9" s="20" customFormat="1" ht="35.25" customHeight="1">
      <c r="A37" s="203" t="s">
        <v>103</v>
      </c>
      <c r="B37" s="203" t="s">
        <v>143</v>
      </c>
      <c r="C37" s="58" t="s">
        <v>326</v>
      </c>
      <c r="D37" s="17">
        <v>0</v>
      </c>
      <c r="E37" s="4" t="s">
        <v>373</v>
      </c>
      <c r="F37" s="19">
        <v>0</v>
      </c>
      <c r="G37" s="19">
        <f>D37+F37</f>
        <v>0</v>
      </c>
      <c r="H37" s="47"/>
      <c r="I37" s="46"/>
    </row>
    <row r="38" spans="1:9" s="20" customFormat="1" ht="32.25" customHeight="1" hidden="1">
      <c r="A38" s="203"/>
      <c r="B38" s="203"/>
      <c r="C38" s="58" t="s">
        <v>274</v>
      </c>
      <c r="D38" s="17"/>
      <c r="E38" s="4" t="s">
        <v>274</v>
      </c>
      <c r="F38" s="19"/>
      <c r="G38" s="19">
        <f aca="true" t="shared" si="2" ref="G38:G48">D38+F38</f>
        <v>0</v>
      </c>
      <c r="I38" s="46"/>
    </row>
    <row r="39" spans="1:9" s="20" customFormat="1" ht="66" customHeight="1" hidden="1">
      <c r="A39" s="203"/>
      <c r="B39" s="203"/>
      <c r="C39" s="58" t="s">
        <v>274</v>
      </c>
      <c r="D39" s="17"/>
      <c r="E39" s="4" t="s">
        <v>274</v>
      </c>
      <c r="F39" s="19"/>
      <c r="G39" s="19">
        <f t="shared" si="2"/>
        <v>0</v>
      </c>
      <c r="I39" s="46"/>
    </row>
    <row r="40" spans="1:9" s="20" customFormat="1" ht="35.25" customHeight="1">
      <c r="A40" s="203"/>
      <c r="B40" s="203"/>
      <c r="C40" s="58" t="s">
        <v>331</v>
      </c>
      <c r="D40" s="17">
        <v>0</v>
      </c>
      <c r="E40" s="4"/>
      <c r="F40" s="19"/>
      <c r="G40" s="19">
        <f t="shared" si="2"/>
        <v>0</v>
      </c>
      <c r="I40" s="46"/>
    </row>
    <row r="41" spans="1:9" s="20" customFormat="1" ht="47.25">
      <c r="A41" s="203"/>
      <c r="B41" s="203"/>
      <c r="C41" s="35" t="s">
        <v>311</v>
      </c>
      <c r="D41" s="38">
        <v>0</v>
      </c>
      <c r="E41" s="35" t="s">
        <v>311</v>
      </c>
      <c r="F41" s="36">
        <v>0</v>
      </c>
      <c r="G41" s="19">
        <f t="shared" si="2"/>
        <v>0</v>
      </c>
      <c r="I41" s="46"/>
    </row>
    <row r="42" spans="1:9" s="20" customFormat="1" ht="66" customHeight="1">
      <c r="A42" s="203"/>
      <c r="B42" s="203"/>
      <c r="C42" s="58" t="s">
        <v>334</v>
      </c>
      <c r="D42" s="17">
        <v>0</v>
      </c>
      <c r="E42" s="35"/>
      <c r="F42" s="36"/>
      <c r="G42" s="19">
        <f t="shared" si="2"/>
        <v>0</v>
      </c>
      <c r="I42" s="46"/>
    </row>
    <row r="43" spans="1:9" s="20" customFormat="1" ht="35.25" customHeight="1">
      <c r="A43" s="203" t="s">
        <v>104</v>
      </c>
      <c r="B43" s="204" t="s">
        <v>144</v>
      </c>
      <c r="C43" s="58" t="s">
        <v>326</v>
      </c>
      <c r="D43" s="17">
        <v>0</v>
      </c>
      <c r="E43" s="4"/>
      <c r="F43" s="19"/>
      <c r="G43" s="19">
        <f t="shared" si="2"/>
        <v>0</v>
      </c>
      <c r="I43" s="46"/>
    </row>
    <row r="44" spans="1:9" s="20" customFormat="1" ht="70.5" customHeight="1">
      <c r="A44" s="203"/>
      <c r="B44" s="204"/>
      <c r="C44" s="58" t="s">
        <v>334</v>
      </c>
      <c r="D44" s="17">
        <v>0</v>
      </c>
      <c r="E44" s="4"/>
      <c r="F44" s="19"/>
      <c r="G44" s="19">
        <f t="shared" si="2"/>
        <v>0</v>
      </c>
      <c r="I44" s="46"/>
    </row>
    <row r="45" spans="1:9" s="20" customFormat="1" ht="31.5">
      <c r="A45" s="203"/>
      <c r="B45" s="204"/>
      <c r="C45" s="4"/>
      <c r="D45" s="17"/>
      <c r="E45" s="35" t="s">
        <v>369</v>
      </c>
      <c r="F45" s="36">
        <v>0</v>
      </c>
      <c r="G45" s="19">
        <f t="shared" si="2"/>
        <v>0</v>
      </c>
      <c r="H45" s="47"/>
      <c r="I45" s="46"/>
    </row>
    <row r="46" spans="1:9" s="20" customFormat="1" ht="39" customHeight="1">
      <c r="A46" s="203" t="s">
        <v>61</v>
      </c>
      <c r="B46" s="204" t="s">
        <v>62</v>
      </c>
      <c r="C46" s="58" t="s">
        <v>310</v>
      </c>
      <c r="D46" s="17">
        <v>0</v>
      </c>
      <c r="E46" s="4" t="s">
        <v>374</v>
      </c>
      <c r="F46" s="19">
        <v>0</v>
      </c>
      <c r="G46" s="19">
        <f t="shared" si="2"/>
        <v>0</v>
      </c>
      <c r="H46" s="47"/>
      <c r="I46" s="46"/>
    </row>
    <row r="47" spans="1:9" s="20" customFormat="1" ht="46.5" customHeight="1" hidden="1">
      <c r="A47" s="203"/>
      <c r="B47" s="204"/>
      <c r="C47" s="4" t="s">
        <v>357</v>
      </c>
      <c r="D47" s="17">
        <v>0</v>
      </c>
      <c r="E47" s="4" t="s">
        <v>357</v>
      </c>
      <c r="F47" s="19">
        <v>0</v>
      </c>
      <c r="G47" s="19">
        <f t="shared" si="2"/>
        <v>0</v>
      </c>
      <c r="I47" s="46"/>
    </row>
    <row r="48" spans="1:9" s="20" customFormat="1" ht="51.75" customHeight="1" hidden="1">
      <c r="A48" s="203"/>
      <c r="B48" s="204"/>
      <c r="C48" s="4"/>
      <c r="D48" s="21">
        <v>0</v>
      </c>
      <c r="E48" s="26"/>
      <c r="F48" s="16"/>
      <c r="G48" s="19">
        <f t="shared" si="2"/>
        <v>0</v>
      </c>
      <c r="I48" s="46"/>
    </row>
    <row r="49" spans="1:9" s="20" customFormat="1" ht="47.25">
      <c r="A49" s="203"/>
      <c r="B49" s="204"/>
      <c r="C49" s="35" t="s">
        <v>311</v>
      </c>
      <c r="D49" s="36">
        <v>0</v>
      </c>
      <c r="E49" s="35" t="s">
        <v>311</v>
      </c>
      <c r="F49" s="36">
        <v>0</v>
      </c>
      <c r="G49" s="19">
        <f>D49+F49</f>
        <v>0</v>
      </c>
      <c r="I49" s="46"/>
    </row>
    <row r="50" spans="1:9" s="20" customFormat="1" ht="66.75" customHeight="1">
      <c r="A50" s="203"/>
      <c r="B50" s="204"/>
      <c r="C50" s="58" t="s">
        <v>334</v>
      </c>
      <c r="D50" s="19">
        <v>0</v>
      </c>
      <c r="E50" s="35"/>
      <c r="F50" s="36"/>
      <c r="G50" s="19">
        <f aca="true" t="shared" si="3" ref="G50:G67">D50+F50</f>
        <v>0</v>
      </c>
      <c r="I50" s="46"/>
    </row>
    <row r="51" spans="1:9" s="20" customFormat="1" ht="63.75" customHeight="1">
      <c r="A51" s="18" t="s">
        <v>328</v>
      </c>
      <c r="B51" s="4" t="s">
        <v>327</v>
      </c>
      <c r="C51" s="58" t="s">
        <v>334</v>
      </c>
      <c r="D51" s="19">
        <v>0</v>
      </c>
      <c r="E51" s="35"/>
      <c r="F51" s="36"/>
      <c r="G51" s="19">
        <f t="shared" si="3"/>
        <v>0</v>
      </c>
      <c r="I51" s="46"/>
    </row>
    <row r="52" spans="1:9" s="51" customFormat="1" ht="46.5" customHeight="1">
      <c r="A52" s="18" t="s">
        <v>335</v>
      </c>
      <c r="B52" s="4" t="s">
        <v>336</v>
      </c>
      <c r="C52" s="58" t="s">
        <v>326</v>
      </c>
      <c r="D52" s="19">
        <v>0</v>
      </c>
      <c r="E52" s="4" t="s">
        <v>373</v>
      </c>
      <c r="F52" s="19">
        <v>0</v>
      </c>
      <c r="G52" s="19">
        <f t="shared" si="3"/>
        <v>0</v>
      </c>
      <c r="H52" s="47"/>
      <c r="I52" s="52"/>
    </row>
    <row r="53" spans="1:9" s="20" customFormat="1" ht="60.75" customHeight="1">
      <c r="A53" s="18" t="s">
        <v>329</v>
      </c>
      <c r="B53" s="4" t="s">
        <v>330</v>
      </c>
      <c r="C53" s="60" t="s">
        <v>334</v>
      </c>
      <c r="D53" s="19">
        <v>0</v>
      </c>
      <c r="E53" s="35"/>
      <c r="F53" s="36"/>
      <c r="G53" s="19">
        <f t="shared" si="3"/>
        <v>0</v>
      </c>
      <c r="I53" s="46"/>
    </row>
    <row r="54" spans="1:9" s="20" customFormat="1" ht="47.25">
      <c r="A54" s="25" t="s">
        <v>116</v>
      </c>
      <c r="B54" s="4" t="s">
        <v>63</v>
      </c>
      <c r="C54" s="4" t="s">
        <v>376</v>
      </c>
      <c r="D54" s="21">
        <v>0</v>
      </c>
      <c r="E54" s="4"/>
      <c r="F54" s="16"/>
      <c r="G54" s="19">
        <f t="shared" si="3"/>
        <v>0</v>
      </c>
      <c r="I54" s="46"/>
    </row>
    <row r="55" spans="1:9" s="20" customFormat="1" ht="95.25" customHeight="1">
      <c r="A55" s="18" t="s">
        <v>105</v>
      </c>
      <c r="B55" s="4" t="s">
        <v>138</v>
      </c>
      <c r="C55" s="60" t="s">
        <v>331</v>
      </c>
      <c r="D55" s="17">
        <v>0</v>
      </c>
      <c r="E55" s="4"/>
      <c r="F55" s="9"/>
      <c r="G55" s="19">
        <f t="shared" si="3"/>
        <v>0</v>
      </c>
      <c r="I55" s="46"/>
    </row>
    <row r="56" spans="1:9" s="20" customFormat="1" ht="35.25" customHeight="1">
      <c r="A56" s="18" t="s">
        <v>199</v>
      </c>
      <c r="B56" s="4" t="s">
        <v>200</v>
      </c>
      <c r="C56" s="60" t="s">
        <v>288</v>
      </c>
      <c r="D56" s="17">
        <v>0</v>
      </c>
      <c r="E56" s="4"/>
      <c r="F56" s="9"/>
      <c r="G56" s="19">
        <f t="shared" si="3"/>
        <v>0</v>
      </c>
      <c r="I56" s="46"/>
    </row>
    <row r="57" spans="1:9" s="20" customFormat="1" ht="47.25">
      <c r="A57" s="18" t="s">
        <v>285</v>
      </c>
      <c r="B57" s="4" t="s">
        <v>286</v>
      </c>
      <c r="C57" s="60" t="s">
        <v>288</v>
      </c>
      <c r="D57" s="17">
        <v>0</v>
      </c>
      <c r="E57" s="4"/>
      <c r="F57" s="19"/>
      <c r="G57" s="19">
        <f t="shared" si="3"/>
        <v>0</v>
      </c>
      <c r="I57" s="46"/>
    </row>
    <row r="58" spans="1:9" s="20" customFormat="1" ht="31.5" customHeight="1">
      <c r="A58" s="203" t="s">
        <v>145</v>
      </c>
      <c r="B58" s="204" t="s">
        <v>233</v>
      </c>
      <c r="C58" s="60" t="s">
        <v>288</v>
      </c>
      <c r="D58" s="17">
        <v>0</v>
      </c>
      <c r="E58" s="4"/>
      <c r="F58" s="19"/>
      <c r="G58" s="19">
        <f t="shared" si="3"/>
        <v>0</v>
      </c>
      <c r="I58" s="46"/>
    </row>
    <row r="59" spans="1:9" s="20" customFormat="1" ht="47.25">
      <c r="A59" s="203"/>
      <c r="B59" s="204"/>
      <c r="C59" s="35" t="s">
        <v>311</v>
      </c>
      <c r="D59" s="36">
        <v>0</v>
      </c>
      <c r="E59" s="35" t="s">
        <v>369</v>
      </c>
      <c r="F59" s="36">
        <v>0</v>
      </c>
      <c r="G59" s="19">
        <f t="shared" si="3"/>
        <v>0</v>
      </c>
      <c r="H59" s="47"/>
      <c r="I59" s="46"/>
    </row>
    <row r="60" spans="1:9" s="20" customFormat="1" ht="65.25" customHeight="1">
      <c r="A60" s="203"/>
      <c r="B60" s="204"/>
      <c r="C60" s="4" t="s">
        <v>334</v>
      </c>
      <c r="D60" s="19">
        <v>0</v>
      </c>
      <c r="E60" s="35"/>
      <c r="F60" s="36"/>
      <c r="G60" s="19">
        <f t="shared" si="3"/>
        <v>0</v>
      </c>
      <c r="I60" s="46"/>
    </row>
    <row r="61" spans="1:9" s="20" customFormat="1" ht="47.25">
      <c r="A61" s="18" t="s">
        <v>197</v>
      </c>
      <c r="B61" s="4" t="s">
        <v>198</v>
      </c>
      <c r="C61" s="4" t="s">
        <v>302</v>
      </c>
      <c r="D61" s="17">
        <v>0</v>
      </c>
      <c r="E61" s="4"/>
      <c r="F61" s="19"/>
      <c r="G61" s="19">
        <f t="shared" si="3"/>
        <v>0</v>
      </c>
      <c r="I61" s="46"/>
    </row>
    <row r="62" spans="1:9" s="20" customFormat="1" ht="63">
      <c r="A62" s="210">
        <v>130112</v>
      </c>
      <c r="B62" s="204" t="s">
        <v>127</v>
      </c>
      <c r="C62" s="58" t="s">
        <v>334</v>
      </c>
      <c r="D62" s="17">
        <v>0</v>
      </c>
      <c r="E62" s="4"/>
      <c r="F62" s="19"/>
      <c r="G62" s="19">
        <f t="shared" si="3"/>
        <v>0</v>
      </c>
      <c r="I62" s="46"/>
    </row>
    <row r="63" spans="1:9" s="20" customFormat="1" ht="37.5" customHeight="1">
      <c r="A63" s="210"/>
      <c r="B63" s="204"/>
      <c r="C63" s="4" t="s">
        <v>375</v>
      </c>
      <c r="D63" s="21">
        <v>0</v>
      </c>
      <c r="E63" s="60" t="s">
        <v>288</v>
      </c>
      <c r="F63" s="12">
        <v>0</v>
      </c>
      <c r="G63" s="19">
        <f t="shared" si="3"/>
        <v>0</v>
      </c>
      <c r="H63" s="47"/>
      <c r="I63" s="46"/>
    </row>
    <row r="64" spans="1:9" s="20" customFormat="1" ht="31.5">
      <c r="A64" s="203" t="s">
        <v>119</v>
      </c>
      <c r="B64" s="204" t="s">
        <v>120</v>
      </c>
      <c r="C64" s="4"/>
      <c r="D64" s="5"/>
      <c r="E64" s="4" t="s">
        <v>373</v>
      </c>
      <c r="F64" s="12">
        <v>0</v>
      </c>
      <c r="G64" s="19">
        <f t="shared" si="3"/>
        <v>0</v>
      </c>
      <c r="H64" s="47"/>
      <c r="I64" s="46"/>
    </row>
    <row r="65" spans="1:9" s="20" customFormat="1" ht="31.5">
      <c r="A65" s="203"/>
      <c r="B65" s="204"/>
      <c r="C65" s="4"/>
      <c r="D65" s="5"/>
      <c r="E65" s="4" t="s">
        <v>374</v>
      </c>
      <c r="F65" s="12">
        <v>0</v>
      </c>
      <c r="G65" s="19">
        <f t="shared" si="3"/>
        <v>0</v>
      </c>
      <c r="I65" s="46"/>
    </row>
    <row r="66" spans="1:9" s="20" customFormat="1" ht="31.5">
      <c r="A66" s="203"/>
      <c r="B66" s="204"/>
      <c r="C66" s="4"/>
      <c r="D66" s="5"/>
      <c r="E66" s="4" t="s">
        <v>377</v>
      </c>
      <c r="F66" s="12">
        <v>0</v>
      </c>
      <c r="G66" s="19">
        <f t="shared" si="3"/>
        <v>0</v>
      </c>
      <c r="I66" s="46"/>
    </row>
    <row r="67" spans="1:9" s="20" customFormat="1" ht="47.25">
      <c r="A67" s="4">
        <v>240601</v>
      </c>
      <c r="B67" s="4" t="s">
        <v>141</v>
      </c>
      <c r="C67" s="4"/>
      <c r="D67" s="5"/>
      <c r="E67" s="4" t="s">
        <v>378</v>
      </c>
      <c r="F67" s="19">
        <v>0</v>
      </c>
      <c r="G67" s="19">
        <f t="shared" si="3"/>
        <v>0</v>
      </c>
      <c r="H67" s="47"/>
      <c r="I67" s="46"/>
    </row>
    <row r="68" spans="1:9" s="20" customFormat="1" ht="77.25" customHeight="1">
      <c r="A68" s="25" t="s">
        <v>59</v>
      </c>
      <c r="B68" s="4" t="s">
        <v>60</v>
      </c>
      <c r="C68" s="201" t="s">
        <v>376</v>
      </c>
      <c r="D68" s="15">
        <v>0</v>
      </c>
      <c r="E68" s="60" t="s">
        <v>287</v>
      </c>
      <c r="F68" s="16">
        <v>0</v>
      </c>
      <c r="G68" s="19">
        <f>D68+F68</f>
        <v>0</v>
      </c>
      <c r="I68" s="46"/>
    </row>
    <row r="69" spans="1:9" s="20" customFormat="1" ht="94.5">
      <c r="A69" s="25" t="s">
        <v>354</v>
      </c>
      <c r="B69" s="4" t="s">
        <v>355</v>
      </c>
      <c r="C69" s="202"/>
      <c r="D69" s="15">
        <v>0</v>
      </c>
      <c r="E69" s="4"/>
      <c r="F69" s="16"/>
      <c r="G69" s="19">
        <f>D69+F69</f>
        <v>0</v>
      </c>
      <c r="I69" s="46"/>
    </row>
    <row r="70" spans="1:9" s="20" customFormat="1" ht="46.5" customHeight="1">
      <c r="A70" s="22" t="s">
        <v>184</v>
      </c>
      <c r="B70" s="23" t="s">
        <v>85</v>
      </c>
      <c r="C70" s="4"/>
      <c r="D70" s="24">
        <f>D72+D73+D74+D75+D76+D77+D78+D79+D80+D81+D83+D82+D85+D86+D87+D89</f>
        <v>0</v>
      </c>
      <c r="E70" s="5"/>
      <c r="F70" s="24">
        <f>F72+F73+F75+F77+F78+F80+F81+F83+F84+F86+F90</f>
        <v>0</v>
      </c>
      <c r="G70" s="28">
        <f>D70+F70</f>
        <v>0</v>
      </c>
      <c r="H70" s="47"/>
      <c r="I70" s="46"/>
    </row>
    <row r="71" spans="1:9" s="20" customFormat="1" ht="34.5" customHeight="1" hidden="1">
      <c r="A71" s="18" t="s">
        <v>207</v>
      </c>
      <c r="B71" s="4" t="s">
        <v>208</v>
      </c>
      <c r="C71" s="4" t="s">
        <v>216</v>
      </c>
      <c r="D71" s="17"/>
      <c r="E71" s="4"/>
      <c r="F71" s="19"/>
      <c r="G71" s="19">
        <v>0</v>
      </c>
      <c r="I71" s="46"/>
    </row>
    <row r="72" spans="1:9" s="20" customFormat="1" ht="52.5" customHeight="1">
      <c r="A72" s="203" t="s">
        <v>107</v>
      </c>
      <c r="B72" s="204" t="s">
        <v>54</v>
      </c>
      <c r="C72" s="60" t="s">
        <v>344</v>
      </c>
      <c r="D72" s="17">
        <v>0</v>
      </c>
      <c r="E72" s="4" t="s">
        <v>379</v>
      </c>
      <c r="F72" s="19">
        <v>0</v>
      </c>
      <c r="G72" s="19">
        <f>D72+F72</f>
        <v>0</v>
      </c>
      <c r="H72" s="47"/>
      <c r="I72" s="46"/>
    </row>
    <row r="73" spans="1:9" s="20" customFormat="1" ht="51.75" customHeight="1">
      <c r="A73" s="203"/>
      <c r="B73" s="204"/>
      <c r="C73" s="4" t="s">
        <v>357</v>
      </c>
      <c r="D73" s="17">
        <v>0</v>
      </c>
      <c r="E73" s="4" t="s">
        <v>357</v>
      </c>
      <c r="F73" s="19">
        <v>0</v>
      </c>
      <c r="G73" s="19">
        <f aca="true" t="shared" si="4" ref="G73:G90">D73+F73</f>
        <v>0</v>
      </c>
      <c r="I73" s="46"/>
    </row>
    <row r="74" spans="1:9" s="20" customFormat="1" ht="54.75" customHeight="1">
      <c r="A74" s="203"/>
      <c r="B74" s="204"/>
      <c r="C74" s="60" t="s">
        <v>345</v>
      </c>
      <c r="D74" s="17">
        <v>0</v>
      </c>
      <c r="E74" s="4"/>
      <c r="F74" s="19"/>
      <c r="G74" s="19">
        <f t="shared" si="4"/>
        <v>0</v>
      </c>
      <c r="I74" s="46"/>
    </row>
    <row r="75" spans="1:9" s="20" customFormat="1" ht="47.25">
      <c r="A75" s="203"/>
      <c r="B75" s="204"/>
      <c r="C75" s="60" t="s">
        <v>311</v>
      </c>
      <c r="D75" s="38">
        <v>0</v>
      </c>
      <c r="E75" s="35" t="s">
        <v>369</v>
      </c>
      <c r="F75" s="36">
        <v>0</v>
      </c>
      <c r="G75" s="19">
        <f t="shared" si="4"/>
        <v>0</v>
      </c>
      <c r="I75" s="46"/>
    </row>
    <row r="76" spans="1:9" s="20" customFormat="1" ht="63">
      <c r="A76" s="203"/>
      <c r="B76" s="204"/>
      <c r="C76" s="60" t="s">
        <v>334</v>
      </c>
      <c r="D76" s="17">
        <v>0</v>
      </c>
      <c r="E76" s="35"/>
      <c r="F76" s="36"/>
      <c r="G76" s="19">
        <f t="shared" si="4"/>
        <v>0</v>
      </c>
      <c r="I76" s="46"/>
    </row>
    <row r="77" spans="1:9" s="20" customFormat="1" ht="50.25" customHeight="1">
      <c r="A77" s="203" t="s">
        <v>146</v>
      </c>
      <c r="B77" s="204" t="s">
        <v>276</v>
      </c>
      <c r="C77" s="60" t="s">
        <v>344</v>
      </c>
      <c r="D77" s="17">
        <v>0</v>
      </c>
      <c r="E77" s="4" t="s">
        <v>379</v>
      </c>
      <c r="F77" s="19">
        <v>0</v>
      </c>
      <c r="G77" s="19">
        <f t="shared" si="4"/>
        <v>0</v>
      </c>
      <c r="H77" s="47"/>
      <c r="I77" s="46"/>
    </row>
    <row r="78" spans="1:9" s="20" customFormat="1" ht="47.25">
      <c r="A78" s="203"/>
      <c r="B78" s="204"/>
      <c r="C78" s="35" t="s">
        <v>311</v>
      </c>
      <c r="D78" s="36">
        <v>0</v>
      </c>
      <c r="E78" s="35" t="s">
        <v>369</v>
      </c>
      <c r="F78" s="36">
        <v>0</v>
      </c>
      <c r="G78" s="19">
        <f t="shared" si="4"/>
        <v>0</v>
      </c>
      <c r="I78" s="46"/>
    </row>
    <row r="79" spans="1:9" s="20" customFormat="1" ht="63">
      <c r="A79" s="203"/>
      <c r="B79" s="204"/>
      <c r="C79" s="61" t="s">
        <v>334</v>
      </c>
      <c r="D79" s="19">
        <v>0</v>
      </c>
      <c r="E79" s="35"/>
      <c r="F79" s="36"/>
      <c r="G79" s="19">
        <f t="shared" si="4"/>
        <v>0</v>
      </c>
      <c r="I79" s="46"/>
    </row>
    <row r="80" spans="1:9" s="20" customFormat="1" ht="47.25">
      <c r="A80" s="203" t="s">
        <v>108</v>
      </c>
      <c r="B80" s="204" t="s">
        <v>55</v>
      </c>
      <c r="C80" s="61" t="s">
        <v>344</v>
      </c>
      <c r="D80" s="17">
        <v>0</v>
      </c>
      <c r="E80" s="4" t="s">
        <v>379</v>
      </c>
      <c r="F80" s="19">
        <v>0</v>
      </c>
      <c r="G80" s="19">
        <f t="shared" si="4"/>
        <v>0</v>
      </c>
      <c r="H80" s="47"/>
      <c r="I80" s="46"/>
    </row>
    <row r="81" spans="1:9" s="20" customFormat="1" ht="47.25">
      <c r="A81" s="203"/>
      <c r="B81" s="204"/>
      <c r="C81" s="35" t="s">
        <v>311</v>
      </c>
      <c r="D81" s="36">
        <v>0</v>
      </c>
      <c r="E81" s="35" t="s">
        <v>369</v>
      </c>
      <c r="F81" s="36">
        <v>0</v>
      </c>
      <c r="G81" s="19">
        <f t="shared" si="4"/>
        <v>0</v>
      </c>
      <c r="I81" s="46"/>
    </row>
    <row r="82" spans="1:9" s="20" customFormat="1" ht="63">
      <c r="A82" s="203"/>
      <c r="B82" s="204"/>
      <c r="C82" s="61" t="s">
        <v>334</v>
      </c>
      <c r="D82" s="19">
        <v>0</v>
      </c>
      <c r="E82" s="35"/>
      <c r="F82" s="36"/>
      <c r="G82" s="19">
        <f t="shared" si="4"/>
        <v>0</v>
      </c>
      <c r="I82" s="46"/>
    </row>
    <row r="83" spans="1:9" s="20" customFormat="1" ht="47.25" customHeight="1">
      <c r="A83" s="203" t="s">
        <v>109</v>
      </c>
      <c r="B83" s="204" t="s">
        <v>56</v>
      </c>
      <c r="C83" s="61" t="s">
        <v>344</v>
      </c>
      <c r="D83" s="17">
        <v>0</v>
      </c>
      <c r="E83" s="4" t="s">
        <v>379</v>
      </c>
      <c r="F83" s="19">
        <v>0</v>
      </c>
      <c r="G83" s="19">
        <f t="shared" si="4"/>
        <v>0</v>
      </c>
      <c r="H83" s="47"/>
      <c r="I83" s="46"/>
    </row>
    <row r="84" spans="1:9" s="20" customFormat="1" ht="31.5">
      <c r="A84" s="203"/>
      <c r="B84" s="204"/>
      <c r="C84" s="4"/>
      <c r="D84" s="17"/>
      <c r="E84" s="35" t="s">
        <v>369</v>
      </c>
      <c r="F84" s="36">
        <v>0</v>
      </c>
      <c r="G84" s="19">
        <f t="shared" si="4"/>
        <v>0</v>
      </c>
      <c r="I84" s="46"/>
    </row>
    <row r="85" spans="1:9" s="20" customFormat="1" ht="66" customHeight="1">
      <c r="A85" s="203"/>
      <c r="B85" s="204"/>
      <c r="C85" s="61" t="s">
        <v>334</v>
      </c>
      <c r="D85" s="17">
        <v>0</v>
      </c>
      <c r="E85" s="35"/>
      <c r="F85" s="36"/>
      <c r="G85" s="19">
        <f t="shared" si="4"/>
        <v>0</v>
      </c>
      <c r="I85" s="46"/>
    </row>
    <row r="86" spans="1:9" s="53" customFormat="1" ht="50.25" customHeight="1">
      <c r="A86" s="18" t="s">
        <v>337</v>
      </c>
      <c r="B86" s="4" t="s">
        <v>338</v>
      </c>
      <c r="C86" s="61" t="s">
        <v>344</v>
      </c>
      <c r="D86" s="17">
        <v>0</v>
      </c>
      <c r="E86" s="4" t="s">
        <v>379</v>
      </c>
      <c r="F86" s="19">
        <v>0</v>
      </c>
      <c r="G86" s="19">
        <f t="shared" si="4"/>
        <v>0</v>
      </c>
      <c r="H86" s="47"/>
      <c r="I86" s="46"/>
    </row>
    <row r="87" spans="1:9" s="20" customFormat="1" ht="47.25">
      <c r="A87" s="18" t="s">
        <v>147</v>
      </c>
      <c r="B87" s="4" t="s">
        <v>148</v>
      </c>
      <c r="C87" s="61" t="s">
        <v>289</v>
      </c>
      <c r="D87" s="17">
        <v>0</v>
      </c>
      <c r="E87" s="4"/>
      <c r="F87" s="9"/>
      <c r="G87" s="19">
        <f t="shared" si="4"/>
        <v>0</v>
      </c>
      <c r="I87" s="46"/>
    </row>
    <row r="88" spans="1:9" s="20" customFormat="1" ht="15.75" customHeight="1" hidden="1">
      <c r="A88" s="18" t="s">
        <v>110</v>
      </c>
      <c r="B88" s="4" t="s">
        <v>57</v>
      </c>
      <c r="C88" s="61"/>
      <c r="D88" s="17"/>
      <c r="E88" s="4"/>
      <c r="F88" s="19">
        <v>0</v>
      </c>
      <c r="G88" s="19">
        <f t="shared" si="4"/>
        <v>0</v>
      </c>
      <c r="I88" s="46"/>
    </row>
    <row r="89" spans="1:9" s="20" customFormat="1" ht="46.5" customHeight="1">
      <c r="A89" s="18" t="s">
        <v>111</v>
      </c>
      <c r="B89" s="4" t="s">
        <v>277</v>
      </c>
      <c r="C89" s="61" t="s">
        <v>290</v>
      </c>
      <c r="D89" s="17">
        <v>0</v>
      </c>
      <c r="E89" s="4"/>
      <c r="F89" s="9"/>
      <c r="G89" s="19">
        <f t="shared" si="4"/>
        <v>0</v>
      </c>
      <c r="I89" s="46"/>
    </row>
    <row r="90" spans="1:9" s="20" customFormat="1" ht="52.5" customHeight="1">
      <c r="A90" s="18" t="s">
        <v>119</v>
      </c>
      <c r="B90" s="4" t="s">
        <v>120</v>
      </c>
      <c r="C90" s="4"/>
      <c r="D90" s="5"/>
      <c r="E90" s="4" t="s">
        <v>379</v>
      </c>
      <c r="F90" s="19">
        <v>0</v>
      </c>
      <c r="G90" s="19">
        <f t="shared" si="4"/>
        <v>0</v>
      </c>
      <c r="H90" s="47"/>
      <c r="I90" s="46"/>
    </row>
    <row r="91" spans="1:9" s="20" customFormat="1" ht="36" customHeight="1" hidden="1">
      <c r="A91" s="203" t="s">
        <v>106</v>
      </c>
      <c r="B91" s="204" t="s">
        <v>140</v>
      </c>
      <c r="C91" s="4"/>
      <c r="D91" s="5"/>
      <c r="E91" s="4" t="s">
        <v>172</v>
      </c>
      <c r="F91" s="12"/>
      <c r="G91" s="9">
        <v>0</v>
      </c>
      <c r="I91" s="46"/>
    </row>
    <row r="92" spans="1:9" s="20" customFormat="1" ht="33" customHeight="1" hidden="1">
      <c r="A92" s="203"/>
      <c r="B92" s="204"/>
      <c r="C92" s="4"/>
      <c r="D92" s="5"/>
      <c r="E92" s="4" t="s">
        <v>173</v>
      </c>
      <c r="F92" s="12"/>
      <c r="G92" s="9">
        <v>0</v>
      </c>
      <c r="I92" s="46"/>
    </row>
    <row r="93" spans="1:9" s="20" customFormat="1" ht="49.5" customHeight="1">
      <c r="A93" s="22" t="s">
        <v>185</v>
      </c>
      <c r="B93" s="23" t="s">
        <v>86</v>
      </c>
      <c r="C93" s="4"/>
      <c r="D93" s="28">
        <f>D96+D99+D101+D102+D104+D105+D106+D107+D108+D109+D113+D115+D116</f>
        <v>0</v>
      </c>
      <c r="E93" s="9"/>
      <c r="F93" s="28">
        <f>F94+F97+F101+F102+F104+F107+F110+F111</f>
        <v>0</v>
      </c>
      <c r="G93" s="28">
        <f>D93+F93</f>
        <v>0</v>
      </c>
      <c r="H93" s="47"/>
      <c r="I93" s="46"/>
    </row>
    <row r="94" spans="1:9" s="20" customFormat="1" ht="47.25">
      <c r="A94" s="203" t="s">
        <v>207</v>
      </c>
      <c r="B94" s="204" t="s">
        <v>208</v>
      </c>
      <c r="C94" s="4"/>
      <c r="D94" s="19"/>
      <c r="E94" s="4" t="s">
        <v>367</v>
      </c>
      <c r="F94" s="19">
        <v>0</v>
      </c>
      <c r="G94" s="19">
        <f>D94+F94</f>
        <v>0</v>
      </c>
      <c r="I94" s="46"/>
    </row>
    <row r="95" spans="1:9" s="20" customFormat="1" ht="96.75" customHeight="1" hidden="1">
      <c r="A95" s="203"/>
      <c r="B95" s="204"/>
      <c r="C95" s="4" t="s">
        <v>275</v>
      </c>
      <c r="D95" s="17">
        <v>0</v>
      </c>
      <c r="E95" s="4"/>
      <c r="F95" s="9"/>
      <c r="G95" s="19">
        <f aca="true" t="shared" si="5" ref="G95:G116">D95+F95</f>
        <v>0</v>
      </c>
      <c r="I95" s="46"/>
    </row>
    <row r="96" spans="1:9" s="20" customFormat="1" ht="64.5" customHeight="1">
      <c r="A96" s="203"/>
      <c r="B96" s="204"/>
      <c r="C96" s="61" t="s">
        <v>334</v>
      </c>
      <c r="D96" s="19">
        <v>0</v>
      </c>
      <c r="E96" s="4"/>
      <c r="F96" s="9"/>
      <c r="G96" s="19">
        <f t="shared" si="5"/>
        <v>0</v>
      </c>
      <c r="I96" s="46"/>
    </row>
    <row r="97" spans="1:9" s="20" customFormat="1" ht="51.75" customHeight="1">
      <c r="A97" s="203" t="s">
        <v>114</v>
      </c>
      <c r="B97" s="204" t="s">
        <v>281</v>
      </c>
      <c r="C97" s="4"/>
      <c r="D97" s="19"/>
      <c r="E97" s="4" t="s">
        <v>367</v>
      </c>
      <c r="F97" s="19">
        <v>0</v>
      </c>
      <c r="G97" s="19">
        <f t="shared" si="5"/>
        <v>0</v>
      </c>
      <c r="I97" s="46"/>
    </row>
    <row r="98" spans="1:9" s="20" customFormat="1" ht="63" hidden="1">
      <c r="A98" s="203"/>
      <c r="B98" s="204"/>
      <c r="C98" s="4" t="s">
        <v>334</v>
      </c>
      <c r="D98" s="17">
        <v>0</v>
      </c>
      <c r="E98" s="4"/>
      <c r="F98" s="19"/>
      <c r="G98" s="19">
        <f t="shared" si="5"/>
        <v>0</v>
      </c>
      <c r="I98" s="46"/>
    </row>
    <row r="99" spans="1:9" s="20" customFormat="1" ht="63">
      <c r="A99" s="18" t="s">
        <v>115</v>
      </c>
      <c r="B99" s="4" t="s">
        <v>282</v>
      </c>
      <c r="C99" s="4" t="s">
        <v>381</v>
      </c>
      <c r="D99" s="17">
        <v>0</v>
      </c>
      <c r="E99" s="4"/>
      <c r="F99" s="9"/>
      <c r="G99" s="19">
        <f t="shared" si="5"/>
        <v>0</v>
      </c>
      <c r="I99" s="46"/>
    </row>
    <row r="100" spans="1:9" s="20" customFormat="1" ht="47.25" hidden="1">
      <c r="A100" s="18" t="s">
        <v>116</v>
      </c>
      <c r="B100" s="4" t="s">
        <v>283</v>
      </c>
      <c r="C100" s="4"/>
      <c r="D100" s="17"/>
      <c r="E100" s="4"/>
      <c r="F100" s="9"/>
      <c r="G100" s="19">
        <f t="shared" si="5"/>
        <v>0</v>
      </c>
      <c r="I100" s="46"/>
    </row>
    <row r="101" spans="1:9" s="20" customFormat="1" ht="50.25" customHeight="1">
      <c r="A101" s="203" t="s">
        <v>205</v>
      </c>
      <c r="B101" s="204" t="s">
        <v>206</v>
      </c>
      <c r="C101" s="4" t="s">
        <v>380</v>
      </c>
      <c r="D101" s="17">
        <v>0</v>
      </c>
      <c r="E101" s="4" t="s">
        <v>380</v>
      </c>
      <c r="F101" s="19">
        <v>0</v>
      </c>
      <c r="G101" s="19">
        <f t="shared" si="5"/>
        <v>0</v>
      </c>
      <c r="I101" s="46"/>
    </row>
    <row r="102" spans="1:9" s="20" customFormat="1" ht="50.25" customHeight="1">
      <c r="A102" s="203"/>
      <c r="B102" s="204"/>
      <c r="C102" s="4" t="s">
        <v>357</v>
      </c>
      <c r="D102" s="17">
        <v>0</v>
      </c>
      <c r="E102" s="4" t="s">
        <v>357</v>
      </c>
      <c r="F102" s="19">
        <v>0</v>
      </c>
      <c r="G102" s="19">
        <f t="shared" si="5"/>
        <v>0</v>
      </c>
      <c r="I102" s="46"/>
    </row>
    <row r="103" spans="1:9" s="20" customFormat="1" ht="110.25" customHeight="1" hidden="1">
      <c r="A103" s="203"/>
      <c r="B103" s="204"/>
      <c r="C103" s="4"/>
      <c r="D103" s="17"/>
      <c r="E103" s="4"/>
      <c r="F103" s="9"/>
      <c r="G103" s="19">
        <f t="shared" si="5"/>
        <v>0</v>
      </c>
      <c r="I103" s="46"/>
    </row>
    <row r="104" spans="1:9" s="20" customFormat="1" ht="51" customHeight="1">
      <c r="A104" s="203"/>
      <c r="B104" s="204"/>
      <c r="C104" s="35" t="s">
        <v>311</v>
      </c>
      <c r="D104" s="37">
        <v>0</v>
      </c>
      <c r="E104" s="35" t="s">
        <v>311</v>
      </c>
      <c r="F104" s="37">
        <v>0</v>
      </c>
      <c r="G104" s="19">
        <f t="shared" si="5"/>
        <v>0</v>
      </c>
      <c r="I104" s="46"/>
    </row>
    <row r="105" spans="1:9" s="20" customFormat="1" ht="63">
      <c r="A105" s="203"/>
      <c r="B105" s="204"/>
      <c r="C105" s="61" t="s">
        <v>334</v>
      </c>
      <c r="D105" s="9">
        <v>0</v>
      </c>
      <c r="E105" s="35"/>
      <c r="F105" s="37"/>
      <c r="G105" s="19">
        <f t="shared" si="5"/>
        <v>0</v>
      </c>
      <c r="I105" s="46"/>
    </row>
    <row r="106" spans="1:9" s="20" customFormat="1" ht="49.5" customHeight="1">
      <c r="A106" s="203" t="s">
        <v>58</v>
      </c>
      <c r="B106" s="204" t="s">
        <v>52</v>
      </c>
      <c r="C106" s="4" t="s">
        <v>380</v>
      </c>
      <c r="D106" s="17">
        <v>0</v>
      </c>
      <c r="E106" s="4"/>
      <c r="F106" s="9"/>
      <c r="G106" s="19">
        <f t="shared" si="5"/>
        <v>0</v>
      </c>
      <c r="I106" s="46"/>
    </row>
    <row r="107" spans="1:9" s="20" customFormat="1" ht="47.25">
      <c r="A107" s="203"/>
      <c r="B107" s="204"/>
      <c r="C107" s="35" t="s">
        <v>311</v>
      </c>
      <c r="D107" s="37">
        <v>0</v>
      </c>
      <c r="E107" s="35" t="s">
        <v>369</v>
      </c>
      <c r="F107" s="37">
        <v>0</v>
      </c>
      <c r="G107" s="19">
        <f t="shared" si="5"/>
        <v>0</v>
      </c>
      <c r="I107" s="46"/>
    </row>
    <row r="108" spans="1:9" s="20" customFormat="1" ht="48" customHeight="1">
      <c r="A108" s="203" t="s">
        <v>121</v>
      </c>
      <c r="B108" s="204" t="s">
        <v>128</v>
      </c>
      <c r="C108" s="61" t="s">
        <v>291</v>
      </c>
      <c r="D108" s="17">
        <v>0</v>
      </c>
      <c r="E108" s="4"/>
      <c r="F108" s="9"/>
      <c r="G108" s="19">
        <f>D108+F108</f>
        <v>0</v>
      </c>
      <c r="I108" s="46"/>
    </row>
    <row r="109" spans="1:9" s="20" customFormat="1" ht="47.25">
      <c r="A109" s="203"/>
      <c r="B109" s="204"/>
      <c r="C109" s="35" t="s">
        <v>311</v>
      </c>
      <c r="D109" s="38">
        <v>0</v>
      </c>
      <c r="E109" s="35"/>
      <c r="F109" s="37"/>
      <c r="G109" s="19">
        <f t="shared" si="5"/>
        <v>0</v>
      </c>
      <c r="I109" s="46"/>
    </row>
    <row r="110" spans="1:9" s="20" customFormat="1" ht="48" customHeight="1">
      <c r="A110" s="203" t="s">
        <v>119</v>
      </c>
      <c r="B110" s="204" t="s">
        <v>120</v>
      </c>
      <c r="C110" s="4"/>
      <c r="D110" s="17"/>
      <c r="E110" s="4" t="s">
        <v>321</v>
      </c>
      <c r="F110" s="12">
        <v>0</v>
      </c>
      <c r="G110" s="19">
        <f t="shared" si="5"/>
        <v>0</v>
      </c>
      <c r="I110" s="46"/>
    </row>
    <row r="111" spans="1:9" s="20" customFormat="1" ht="45.75" customHeight="1">
      <c r="A111" s="203"/>
      <c r="B111" s="204"/>
      <c r="C111" s="4"/>
      <c r="D111" s="5"/>
      <c r="E111" s="4" t="s">
        <v>380</v>
      </c>
      <c r="F111" s="12">
        <v>0</v>
      </c>
      <c r="G111" s="19">
        <f t="shared" si="5"/>
        <v>0</v>
      </c>
      <c r="I111" s="46"/>
    </row>
    <row r="112" spans="1:9" s="20" customFormat="1" ht="52.5" customHeight="1" hidden="1">
      <c r="A112" s="18" t="s">
        <v>68</v>
      </c>
      <c r="B112" s="204" t="s">
        <v>279</v>
      </c>
      <c r="C112" s="4" t="s">
        <v>174</v>
      </c>
      <c r="D112" s="17"/>
      <c r="E112" s="4"/>
      <c r="F112" s="16"/>
      <c r="G112" s="19">
        <f t="shared" si="5"/>
        <v>0</v>
      </c>
      <c r="I112" s="46"/>
    </row>
    <row r="113" spans="1:9" s="20" customFormat="1" ht="49.5" customHeight="1">
      <c r="A113" s="203" t="s">
        <v>68</v>
      </c>
      <c r="B113" s="204"/>
      <c r="C113" s="61" t="s">
        <v>292</v>
      </c>
      <c r="D113" s="17">
        <v>0</v>
      </c>
      <c r="E113" s="4"/>
      <c r="F113" s="16"/>
      <c r="G113" s="19">
        <f t="shared" si="5"/>
        <v>0</v>
      </c>
      <c r="I113" s="46"/>
    </row>
    <row r="114" spans="1:9" s="20" customFormat="1" ht="62.25" customHeight="1" hidden="1">
      <c r="A114" s="203"/>
      <c r="B114" s="204"/>
      <c r="C114" s="61" t="s">
        <v>275</v>
      </c>
      <c r="D114" s="17"/>
      <c r="E114" s="4"/>
      <c r="F114" s="16"/>
      <c r="G114" s="19">
        <f t="shared" si="5"/>
        <v>0</v>
      </c>
      <c r="I114" s="46"/>
    </row>
    <row r="115" spans="1:9" s="20" customFormat="1" ht="78.75" customHeight="1">
      <c r="A115" s="18" t="s">
        <v>122</v>
      </c>
      <c r="B115" s="4" t="s">
        <v>280</v>
      </c>
      <c r="C115" s="61" t="s">
        <v>292</v>
      </c>
      <c r="D115" s="17">
        <v>0</v>
      </c>
      <c r="E115" s="4"/>
      <c r="F115" s="16"/>
      <c r="G115" s="19">
        <f t="shared" si="5"/>
        <v>0</v>
      </c>
      <c r="I115" s="46"/>
    </row>
    <row r="116" spans="1:9" s="20" customFormat="1" ht="51" customHeight="1">
      <c r="A116" s="18" t="s">
        <v>152</v>
      </c>
      <c r="B116" s="4" t="s">
        <v>267</v>
      </c>
      <c r="C116" s="61" t="s">
        <v>292</v>
      </c>
      <c r="D116" s="17">
        <v>0</v>
      </c>
      <c r="E116" s="4"/>
      <c r="F116" s="16"/>
      <c r="G116" s="19">
        <f t="shared" si="5"/>
        <v>0</v>
      </c>
      <c r="I116" s="46"/>
    </row>
    <row r="117" spans="1:9" s="20" customFormat="1" ht="68.25" customHeight="1" hidden="1">
      <c r="A117" s="22" t="s">
        <v>218</v>
      </c>
      <c r="B117" s="23" t="s">
        <v>222</v>
      </c>
      <c r="C117" s="4"/>
      <c r="D117" s="24">
        <v>0</v>
      </c>
      <c r="E117" s="4"/>
      <c r="F117" s="24">
        <v>0</v>
      </c>
      <c r="G117" s="24">
        <v>0</v>
      </c>
      <c r="I117" s="46"/>
    </row>
    <row r="118" spans="1:9" s="20" customFormat="1" ht="31.5" hidden="1">
      <c r="A118" s="18" t="s">
        <v>207</v>
      </c>
      <c r="B118" s="4" t="s">
        <v>208</v>
      </c>
      <c r="C118" s="4" t="s">
        <v>219</v>
      </c>
      <c r="D118" s="17"/>
      <c r="E118" s="4" t="s">
        <v>219</v>
      </c>
      <c r="F118" s="12"/>
      <c r="G118" s="9">
        <v>0</v>
      </c>
      <c r="I118" s="46"/>
    </row>
    <row r="119" spans="1:9" s="20" customFormat="1" ht="63" hidden="1">
      <c r="A119" s="22" t="s">
        <v>229</v>
      </c>
      <c r="B119" s="23" t="s">
        <v>230</v>
      </c>
      <c r="C119" s="4"/>
      <c r="D119" s="24">
        <v>0</v>
      </c>
      <c r="E119" s="4"/>
      <c r="F119" s="24">
        <v>0</v>
      </c>
      <c r="G119" s="24">
        <v>0</v>
      </c>
      <c r="I119" s="46"/>
    </row>
    <row r="120" spans="1:9" s="20" customFormat="1" ht="47.25" hidden="1">
      <c r="A120" s="18" t="s">
        <v>207</v>
      </c>
      <c r="B120" s="4" t="s">
        <v>208</v>
      </c>
      <c r="C120" s="4" t="s">
        <v>231</v>
      </c>
      <c r="D120" s="17"/>
      <c r="E120" s="4" t="s">
        <v>231</v>
      </c>
      <c r="F120" s="12"/>
      <c r="G120" s="9">
        <v>0</v>
      </c>
      <c r="I120" s="46"/>
    </row>
    <row r="121" spans="1:9" s="20" customFormat="1" ht="35.25" customHeight="1">
      <c r="A121" s="22" t="s">
        <v>190</v>
      </c>
      <c r="B121" s="23" t="s">
        <v>89</v>
      </c>
      <c r="C121" s="4"/>
      <c r="D121" s="24">
        <f>D123+D125+D126+D127+D128+D129+D130+D132+D133+D134+D135+D136</f>
        <v>0</v>
      </c>
      <c r="E121" s="5"/>
      <c r="F121" s="24">
        <f>F123+F125+F126+F128+F129+F130+F131+F134+F135+F138+F139</f>
        <v>0</v>
      </c>
      <c r="G121" s="28">
        <f>D121+F121</f>
        <v>0</v>
      </c>
      <c r="H121" s="47"/>
      <c r="I121" s="46"/>
    </row>
    <row r="122" spans="1:9" s="20" customFormat="1" ht="31.5" hidden="1">
      <c r="A122" s="18" t="s">
        <v>207</v>
      </c>
      <c r="B122" s="4" t="s">
        <v>208</v>
      </c>
      <c r="C122" s="4" t="s">
        <v>221</v>
      </c>
      <c r="D122" s="17"/>
      <c r="E122" s="4"/>
      <c r="F122" s="19"/>
      <c r="G122" s="16">
        <v>0</v>
      </c>
      <c r="I122" s="46"/>
    </row>
    <row r="123" spans="1:9" s="20" customFormat="1" ht="54" customHeight="1">
      <c r="A123" s="203" t="s">
        <v>201</v>
      </c>
      <c r="B123" s="204" t="s">
        <v>202</v>
      </c>
      <c r="C123" s="61" t="s">
        <v>293</v>
      </c>
      <c r="D123" s="17">
        <v>0</v>
      </c>
      <c r="E123" s="4" t="s">
        <v>383</v>
      </c>
      <c r="F123" s="19">
        <v>0</v>
      </c>
      <c r="G123" s="12">
        <f>D123+F123</f>
        <v>0</v>
      </c>
      <c r="H123" s="47"/>
      <c r="I123" s="46"/>
    </row>
    <row r="124" spans="1:9" s="20" customFormat="1" ht="65.25" customHeight="1" hidden="1">
      <c r="A124" s="203"/>
      <c r="B124" s="204"/>
      <c r="C124" s="61" t="s">
        <v>334</v>
      </c>
      <c r="D124" s="17">
        <v>0</v>
      </c>
      <c r="E124" s="4"/>
      <c r="F124" s="19"/>
      <c r="G124" s="12">
        <f aca="true" t="shared" si="6" ref="G124:G138">D124+F124</f>
        <v>0</v>
      </c>
      <c r="I124" s="46"/>
    </row>
    <row r="125" spans="1:9" s="20" customFormat="1" ht="54" customHeight="1">
      <c r="A125" s="203" t="s">
        <v>203</v>
      </c>
      <c r="B125" s="204" t="s">
        <v>204</v>
      </c>
      <c r="C125" s="61" t="s">
        <v>294</v>
      </c>
      <c r="D125" s="17">
        <v>0</v>
      </c>
      <c r="E125" s="4" t="s">
        <v>383</v>
      </c>
      <c r="F125" s="19">
        <v>0</v>
      </c>
      <c r="G125" s="12">
        <f t="shared" si="6"/>
        <v>0</v>
      </c>
      <c r="H125" s="47"/>
      <c r="I125" s="46"/>
    </row>
    <row r="126" spans="1:9" s="20" customFormat="1" ht="47.25">
      <c r="A126" s="203"/>
      <c r="B126" s="204"/>
      <c r="C126" s="35" t="s">
        <v>311</v>
      </c>
      <c r="D126" s="36">
        <v>0</v>
      </c>
      <c r="E126" s="35" t="s">
        <v>369</v>
      </c>
      <c r="F126" s="36">
        <v>0</v>
      </c>
      <c r="G126" s="12">
        <f t="shared" si="6"/>
        <v>0</v>
      </c>
      <c r="I126" s="46"/>
    </row>
    <row r="127" spans="1:9" s="20" customFormat="1" ht="66.75" customHeight="1">
      <c r="A127" s="203"/>
      <c r="B127" s="204"/>
      <c r="C127" s="61" t="s">
        <v>334</v>
      </c>
      <c r="D127" s="19">
        <v>0</v>
      </c>
      <c r="E127" s="35"/>
      <c r="F127" s="36"/>
      <c r="G127" s="12">
        <f t="shared" si="6"/>
        <v>0</v>
      </c>
      <c r="I127" s="46"/>
    </row>
    <row r="128" spans="1:9" s="20" customFormat="1" ht="54" customHeight="1">
      <c r="A128" s="203" t="s">
        <v>211</v>
      </c>
      <c r="B128" s="204" t="s">
        <v>212</v>
      </c>
      <c r="C128" s="61" t="s">
        <v>294</v>
      </c>
      <c r="D128" s="17">
        <v>0</v>
      </c>
      <c r="E128" s="4" t="s">
        <v>383</v>
      </c>
      <c r="F128" s="19">
        <v>0</v>
      </c>
      <c r="G128" s="12">
        <f t="shared" si="6"/>
        <v>0</v>
      </c>
      <c r="H128" s="69"/>
      <c r="I128" s="46"/>
    </row>
    <row r="129" spans="1:9" s="20" customFormat="1" ht="47.25">
      <c r="A129" s="203"/>
      <c r="B129" s="204"/>
      <c r="C129" s="35" t="s">
        <v>311</v>
      </c>
      <c r="D129" s="36">
        <v>0</v>
      </c>
      <c r="E129" s="35" t="s">
        <v>369</v>
      </c>
      <c r="F129" s="36">
        <v>0</v>
      </c>
      <c r="G129" s="12">
        <f t="shared" si="6"/>
        <v>0</v>
      </c>
      <c r="I129" s="46"/>
    </row>
    <row r="130" spans="1:9" s="20" customFormat="1" ht="51" customHeight="1">
      <c r="A130" s="203" t="s">
        <v>209</v>
      </c>
      <c r="B130" s="204" t="s">
        <v>210</v>
      </c>
      <c r="C130" s="61" t="s">
        <v>294</v>
      </c>
      <c r="D130" s="17">
        <v>0</v>
      </c>
      <c r="E130" s="4" t="s">
        <v>383</v>
      </c>
      <c r="F130" s="19">
        <v>0</v>
      </c>
      <c r="G130" s="12">
        <f t="shared" si="6"/>
        <v>0</v>
      </c>
      <c r="H130" s="47"/>
      <c r="I130" s="46"/>
    </row>
    <row r="131" spans="1:9" s="20" customFormat="1" ht="31.5">
      <c r="A131" s="203"/>
      <c r="B131" s="204"/>
      <c r="C131" s="4"/>
      <c r="D131" s="17"/>
      <c r="E131" s="35" t="s">
        <v>369</v>
      </c>
      <c r="F131" s="36">
        <v>0</v>
      </c>
      <c r="G131" s="12">
        <f t="shared" si="6"/>
        <v>0</v>
      </c>
      <c r="I131" s="46"/>
    </row>
    <row r="132" spans="1:9" s="20" customFormat="1" ht="66" customHeight="1">
      <c r="A132" s="203"/>
      <c r="B132" s="204"/>
      <c r="C132" s="61" t="s">
        <v>334</v>
      </c>
      <c r="D132" s="17">
        <v>0</v>
      </c>
      <c r="E132" s="35"/>
      <c r="F132" s="36"/>
      <c r="G132" s="12">
        <f t="shared" si="6"/>
        <v>0</v>
      </c>
      <c r="I132" s="46"/>
    </row>
    <row r="133" spans="1:9" s="20" customFormat="1" ht="47.25">
      <c r="A133" s="26">
        <v>110300</v>
      </c>
      <c r="B133" s="4" t="s">
        <v>65</v>
      </c>
      <c r="C133" s="61" t="s">
        <v>295</v>
      </c>
      <c r="D133" s="21">
        <v>0</v>
      </c>
      <c r="E133" s="4"/>
      <c r="F133" s="36"/>
      <c r="G133" s="12">
        <f t="shared" si="6"/>
        <v>0</v>
      </c>
      <c r="I133" s="46"/>
    </row>
    <row r="134" spans="1:9" s="20" customFormat="1" ht="47.25">
      <c r="A134" s="210">
        <v>110502</v>
      </c>
      <c r="B134" s="204" t="s">
        <v>53</v>
      </c>
      <c r="C134" s="61" t="s">
        <v>351</v>
      </c>
      <c r="D134" s="15">
        <v>0</v>
      </c>
      <c r="E134" s="61" t="s">
        <v>351</v>
      </c>
      <c r="F134" s="16">
        <v>0</v>
      </c>
      <c r="G134" s="12">
        <f t="shared" si="6"/>
        <v>0</v>
      </c>
      <c r="H134" s="47"/>
      <c r="I134" s="46"/>
    </row>
    <row r="135" spans="1:9" s="20" customFormat="1" ht="51" customHeight="1">
      <c r="A135" s="210"/>
      <c r="B135" s="204"/>
      <c r="C135" s="61" t="s">
        <v>294</v>
      </c>
      <c r="D135" s="15">
        <v>0</v>
      </c>
      <c r="E135" s="4" t="s">
        <v>383</v>
      </c>
      <c r="F135" s="12">
        <v>0</v>
      </c>
      <c r="G135" s="12">
        <f t="shared" si="6"/>
        <v>0</v>
      </c>
      <c r="I135" s="46"/>
    </row>
    <row r="136" spans="1:9" s="20" customFormat="1" ht="55.5" customHeight="1">
      <c r="A136" s="210"/>
      <c r="B136" s="204"/>
      <c r="C136" s="61" t="s">
        <v>296</v>
      </c>
      <c r="D136" s="15">
        <v>0</v>
      </c>
      <c r="E136" s="26"/>
      <c r="F136" s="16"/>
      <c r="G136" s="12">
        <f t="shared" si="6"/>
        <v>0</v>
      </c>
      <c r="I136" s="46"/>
    </row>
    <row r="137" spans="1:9" s="20" customFormat="1" ht="68.25" customHeight="1" hidden="1">
      <c r="A137" s="210"/>
      <c r="B137" s="204"/>
      <c r="C137" s="4" t="s">
        <v>334</v>
      </c>
      <c r="D137" s="15">
        <v>0</v>
      </c>
      <c r="E137" s="4"/>
      <c r="F137" s="16"/>
      <c r="G137" s="12">
        <f t="shared" si="6"/>
        <v>0</v>
      </c>
      <c r="I137" s="46"/>
    </row>
    <row r="138" spans="1:9" s="20" customFormat="1" ht="47.25">
      <c r="A138" s="210"/>
      <c r="B138" s="204"/>
      <c r="C138" s="4"/>
      <c r="D138" s="15"/>
      <c r="E138" s="35" t="s">
        <v>311</v>
      </c>
      <c r="F138" s="36">
        <v>0</v>
      </c>
      <c r="G138" s="12">
        <f t="shared" si="6"/>
        <v>0</v>
      </c>
      <c r="I138" s="46"/>
    </row>
    <row r="139" spans="1:9" s="20" customFormat="1" ht="47.25">
      <c r="A139" s="18" t="s">
        <v>119</v>
      </c>
      <c r="B139" s="4" t="s">
        <v>120</v>
      </c>
      <c r="C139" s="4"/>
      <c r="D139" s="5"/>
      <c r="E139" s="4" t="s">
        <v>382</v>
      </c>
      <c r="F139" s="19">
        <v>0</v>
      </c>
      <c r="G139" s="12">
        <f>D139+F139</f>
        <v>0</v>
      </c>
      <c r="H139" s="47"/>
      <c r="I139" s="46"/>
    </row>
    <row r="140" spans="1:9" s="20" customFormat="1" ht="47.25" hidden="1">
      <c r="A140" s="22" t="s">
        <v>346</v>
      </c>
      <c r="B140" s="23" t="s">
        <v>347</v>
      </c>
      <c r="C140" s="4"/>
      <c r="D140" s="24">
        <v>0</v>
      </c>
      <c r="E140" s="5"/>
      <c r="F140" s="28">
        <v>0</v>
      </c>
      <c r="G140" s="27">
        <v>0</v>
      </c>
      <c r="H140" s="47"/>
      <c r="I140" s="46"/>
    </row>
    <row r="141" spans="1:9" s="20" customFormat="1" ht="47.25" hidden="1">
      <c r="A141" s="18" t="s">
        <v>207</v>
      </c>
      <c r="B141" s="4" t="s">
        <v>208</v>
      </c>
      <c r="C141" s="4"/>
      <c r="D141" s="5"/>
      <c r="E141" s="55" t="s">
        <v>319</v>
      </c>
      <c r="F141" s="56">
        <v>0</v>
      </c>
      <c r="G141" s="9">
        <v>0</v>
      </c>
      <c r="H141" s="47"/>
      <c r="I141" s="46"/>
    </row>
    <row r="142" spans="1:9" s="20" customFormat="1" ht="54" customHeight="1">
      <c r="A142" s="22" t="s">
        <v>189</v>
      </c>
      <c r="B142" s="23" t="s">
        <v>215</v>
      </c>
      <c r="C142" s="4"/>
      <c r="D142" s="24">
        <f>D143+D144+D145+D146</f>
        <v>0</v>
      </c>
      <c r="E142" s="5"/>
      <c r="F142" s="28">
        <f>F143+F144</f>
        <v>0</v>
      </c>
      <c r="G142" s="28">
        <f aca="true" t="shared" si="7" ref="G142:G150">D142+F142</f>
        <v>0</v>
      </c>
      <c r="H142" s="47"/>
      <c r="I142" s="46"/>
    </row>
    <row r="143" spans="1:9" s="20" customFormat="1" ht="47.25">
      <c r="A143" s="18" t="s">
        <v>207</v>
      </c>
      <c r="B143" s="4" t="s">
        <v>208</v>
      </c>
      <c r="C143" s="4"/>
      <c r="D143" s="17"/>
      <c r="E143" s="61" t="s">
        <v>319</v>
      </c>
      <c r="F143" s="19">
        <v>0</v>
      </c>
      <c r="G143" s="19">
        <f t="shared" si="7"/>
        <v>0</v>
      </c>
      <c r="I143" s="46"/>
    </row>
    <row r="144" spans="1:9" s="20" customFormat="1" ht="47.25">
      <c r="A144" s="18" t="s">
        <v>119</v>
      </c>
      <c r="B144" s="4" t="s">
        <v>120</v>
      </c>
      <c r="C144" s="4"/>
      <c r="D144" s="5"/>
      <c r="E144" s="4" t="s">
        <v>384</v>
      </c>
      <c r="F144" s="19">
        <v>0</v>
      </c>
      <c r="G144" s="19">
        <f t="shared" si="7"/>
        <v>0</v>
      </c>
      <c r="I144" s="46"/>
    </row>
    <row r="145" spans="1:9" s="20" customFormat="1" ht="31.5" customHeight="1">
      <c r="A145" s="18" t="s">
        <v>112</v>
      </c>
      <c r="B145" s="4" t="s">
        <v>127</v>
      </c>
      <c r="C145" s="61" t="s">
        <v>297</v>
      </c>
      <c r="D145" s="17">
        <v>0</v>
      </c>
      <c r="E145" s="4"/>
      <c r="F145" s="9"/>
      <c r="G145" s="19">
        <f t="shared" si="7"/>
        <v>0</v>
      </c>
      <c r="I145" s="46"/>
    </row>
    <row r="146" spans="1:9" s="20" customFormat="1" ht="47.25">
      <c r="A146" s="18" t="s">
        <v>137</v>
      </c>
      <c r="B146" s="4" t="s">
        <v>265</v>
      </c>
      <c r="C146" s="4" t="s">
        <v>385</v>
      </c>
      <c r="D146" s="17">
        <v>0</v>
      </c>
      <c r="E146" s="4"/>
      <c r="F146" s="9"/>
      <c r="G146" s="19">
        <f t="shared" si="7"/>
        <v>0</v>
      </c>
      <c r="I146" s="46"/>
    </row>
    <row r="147" spans="1:9" s="20" customFormat="1" ht="47.25">
      <c r="A147" s="22" t="s">
        <v>224</v>
      </c>
      <c r="B147" s="23" t="s">
        <v>225</v>
      </c>
      <c r="C147" s="4"/>
      <c r="D147" s="24">
        <f>D148</f>
        <v>0</v>
      </c>
      <c r="E147" s="5"/>
      <c r="F147" s="24">
        <f>F148</f>
        <v>0</v>
      </c>
      <c r="G147" s="24">
        <f t="shared" si="7"/>
        <v>0</v>
      </c>
      <c r="H147" s="47"/>
      <c r="I147" s="46"/>
    </row>
    <row r="148" spans="1:9" s="20" customFormat="1" ht="48.75" customHeight="1">
      <c r="A148" s="18" t="s">
        <v>207</v>
      </c>
      <c r="B148" s="4" t="s">
        <v>208</v>
      </c>
      <c r="C148" s="4"/>
      <c r="D148" s="17"/>
      <c r="E148" s="4" t="s">
        <v>319</v>
      </c>
      <c r="F148" s="19">
        <v>0</v>
      </c>
      <c r="G148" s="24">
        <f t="shared" si="7"/>
        <v>0</v>
      </c>
      <c r="I148" s="46"/>
    </row>
    <row r="149" spans="1:9" s="20" customFormat="1" ht="45.75" customHeight="1">
      <c r="A149" s="22" t="s">
        <v>187</v>
      </c>
      <c r="B149" s="23" t="s">
        <v>272</v>
      </c>
      <c r="C149" s="4"/>
      <c r="D149" s="24">
        <f>D151+D152+D153+D154+D159+D160+D172</f>
        <v>0</v>
      </c>
      <c r="E149" s="5"/>
      <c r="F149" s="28">
        <f>F150+F151+F152+F153+F154+F155+F157+F158+F159+F160+F162+F163+F165+F166+F167+F169+F170+F171+F172</f>
        <v>0</v>
      </c>
      <c r="G149" s="28">
        <f t="shared" si="7"/>
        <v>0</v>
      </c>
      <c r="H149" s="47"/>
      <c r="I149" s="46"/>
    </row>
    <row r="150" spans="1:9" s="20" customFormat="1" ht="45.75" customHeight="1">
      <c r="A150" s="203" t="s">
        <v>207</v>
      </c>
      <c r="B150" s="204" t="s">
        <v>208</v>
      </c>
      <c r="C150" s="4"/>
      <c r="D150" s="24"/>
      <c r="E150" s="61" t="s">
        <v>319</v>
      </c>
      <c r="F150" s="19"/>
      <c r="G150" s="19">
        <f t="shared" si="7"/>
        <v>0</v>
      </c>
      <c r="H150" s="47"/>
      <c r="I150" s="46"/>
    </row>
    <row r="151" spans="1:9" s="20" customFormat="1" ht="61.5" customHeight="1">
      <c r="A151" s="203"/>
      <c r="B151" s="204"/>
      <c r="C151" s="61" t="s">
        <v>334</v>
      </c>
      <c r="D151" s="17">
        <v>0</v>
      </c>
      <c r="E151" s="4"/>
      <c r="F151" s="19"/>
      <c r="G151" s="19">
        <f aca="true" t="shared" si="8" ref="G151:G172">D151+F151</f>
        <v>0</v>
      </c>
      <c r="I151" s="46"/>
    </row>
    <row r="152" spans="1:9" s="20" customFormat="1" ht="47.25">
      <c r="A152" s="18" t="s">
        <v>121</v>
      </c>
      <c r="B152" s="4" t="s">
        <v>128</v>
      </c>
      <c r="C152" s="61" t="s">
        <v>322</v>
      </c>
      <c r="D152" s="17">
        <v>0</v>
      </c>
      <c r="E152" s="4"/>
      <c r="F152" s="9"/>
      <c r="G152" s="19">
        <f t="shared" si="8"/>
        <v>0</v>
      </c>
      <c r="I152" s="46"/>
    </row>
    <row r="153" spans="1:9" s="20" customFormat="1" ht="47.25">
      <c r="A153" s="203" t="s">
        <v>263</v>
      </c>
      <c r="B153" s="204" t="s">
        <v>264</v>
      </c>
      <c r="C153" s="61" t="s">
        <v>322</v>
      </c>
      <c r="D153" s="17">
        <v>0</v>
      </c>
      <c r="E153" s="4"/>
      <c r="F153" s="9"/>
      <c r="G153" s="19">
        <f t="shared" si="8"/>
        <v>0</v>
      </c>
      <c r="I153" s="46"/>
    </row>
    <row r="154" spans="1:9" s="20" customFormat="1" ht="47.25">
      <c r="A154" s="203"/>
      <c r="B154" s="204"/>
      <c r="C154" s="61" t="s">
        <v>311</v>
      </c>
      <c r="D154" s="37">
        <v>0</v>
      </c>
      <c r="E154" s="4"/>
      <c r="F154" s="9"/>
      <c r="G154" s="19">
        <f t="shared" si="8"/>
        <v>0</v>
      </c>
      <c r="I154" s="46"/>
    </row>
    <row r="155" spans="1:9" s="20" customFormat="1" ht="47.25">
      <c r="A155" s="203" t="s">
        <v>149</v>
      </c>
      <c r="B155" s="204" t="s">
        <v>150</v>
      </c>
      <c r="C155" s="4"/>
      <c r="D155" s="17"/>
      <c r="E155" s="4" t="s">
        <v>278</v>
      </c>
      <c r="F155" s="19">
        <v>0</v>
      </c>
      <c r="G155" s="19">
        <f t="shared" si="8"/>
        <v>0</v>
      </c>
      <c r="I155" s="46"/>
    </row>
    <row r="156" spans="1:9" s="20" customFormat="1" ht="47.25" customHeight="1" hidden="1">
      <c r="A156" s="203"/>
      <c r="B156" s="204"/>
      <c r="C156" s="4" t="s">
        <v>273</v>
      </c>
      <c r="D156" s="17">
        <v>0</v>
      </c>
      <c r="E156" s="4" t="s">
        <v>278</v>
      </c>
      <c r="F156" s="9"/>
      <c r="G156" s="19">
        <f t="shared" si="8"/>
        <v>0</v>
      </c>
      <c r="I156" s="46"/>
    </row>
    <row r="157" spans="1:9" s="20" customFormat="1" ht="47.25">
      <c r="A157" s="203"/>
      <c r="B157" s="204"/>
      <c r="C157" s="4"/>
      <c r="D157" s="17"/>
      <c r="E157" s="61" t="s">
        <v>311</v>
      </c>
      <c r="F157" s="37">
        <v>0</v>
      </c>
      <c r="G157" s="19">
        <f t="shared" si="8"/>
        <v>0</v>
      </c>
      <c r="I157" s="46"/>
    </row>
    <row r="158" spans="1:9" s="20" customFormat="1" ht="56.25" customHeight="1">
      <c r="A158" s="18" t="s">
        <v>307</v>
      </c>
      <c r="B158" s="4" t="s">
        <v>308</v>
      </c>
      <c r="C158" s="4"/>
      <c r="D158" s="17"/>
      <c r="E158" s="4" t="s">
        <v>278</v>
      </c>
      <c r="F158" s="19">
        <v>0</v>
      </c>
      <c r="G158" s="19">
        <f t="shared" si="8"/>
        <v>0</v>
      </c>
      <c r="I158" s="46"/>
    </row>
    <row r="159" spans="1:9" s="20" customFormat="1" ht="51.75" customHeight="1">
      <c r="A159" s="203" t="s">
        <v>129</v>
      </c>
      <c r="B159" s="204" t="s">
        <v>151</v>
      </c>
      <c r="C159" s="61" t="s">
        <v>322</v>
      </c>
      <c r="D159" s="62">
        <v>0</v>
      </c>
      <c r="E159" s="4" t="s">
        <v>278</v>
      </c>
      <c r="F159" s="19">
        <v>0</v>
      </c>
      <c r="G159" s="19">
        <f t="shared" si="8"/>
        <v>0</v>
      </c>
      <c r="I159" s="46"/>
    </row>
    <row r="160" spans="1:9" s="20" customFormat="1" ht="47.25">
      <c r="A160" s="203"/>
      <c r="B160" s="204"/>
      <c r="C160" s="61" t="s">
        <v>311</v>
      </c>
      <c r="D160" s="37">
        <v>0</v>
      </c>
      <c r="E160" s="35" t="s">
        <v>369</v>
      </c>
      <c r="F160" s="37">
        <v>0</v>
      </c>
      <c r="G160" s="19">
        <f t="shared" si="8"/>
        <v>0</v>
      </c>
      <c r="I160" s="46"/>
    </row>
    <row r="161" spans="1:9" s="20" customFormat="1" ht="47.25" hidden="1">
      <c r="A161" s="18" t="s">
        <v>339</v>
      </c>
      <c r="B161" s="4" t="s">
        <v>340</v>
      </c>
      <c r="C161" s="35"/>
      <c r="D161" s="37"/>
      <c r="E161" s="4" t="s">
        <v>322</v>
      </c>
      <c r="F161" s="36">
        <v>0</v>
      </c>
      <c r="G161" s="19">
        <f t="shared" si="8"/>
        <v>0</v>
      </c>
      <c r="I161" s="46"/>
    </row>
    <row r="162" spans="1:9" s="20" customFormat="1" ht="51" customHeight="1">
      <c r="A162" s="203" t="s">
        <v>119</v>
      </c>
      <c r="B162" s="204" t="s">
        <v>120</v>
      </c>
      <c r="C162" s="4"/>
      <c r="D162" s="5"/>
      <c r="E162" s="4" t="s">
        <v>278</v>
      </c>
      <c r="F162" s="12">
        <v>0</v>
      </c>
      <c r="G162" s="19">
        <f t="shared" si="8"/>
        <v>0</v>
      </c>
      <c r="I162" s="46"/>
    </row>
    <row r="163" spans="1:9" s="20" customFormat="1" ht="31.5">
      <c r="A163" s="203"/>
      <c r="B163" s="204"/>
      <c r="C163" s="4"/>
      <c r="D163" s="5"/>
      <c r="E163" s="35" t="s">
        <v>369</v>
      </c>
      <c r="F163" s="37">
        <v>0</v>
      </c>
      <c r="G163" s="19">
        <f t="shared" si="8"/>
        <v>0</v>
      </c>
      <c r="I163" s="46"/>
    </row>
    <row r="164" spans="1:9" s="51" customFormat="1" ht="46.5" customHeight="1" hidden="1">
      <c r="A164" s="205" t="s">
        <v>74</v>
      </c>
      <c r="B164" s="201" t="s">
        <v>246</v>
      </c>
      <c r="C164" s="4"/>
      <c r="D164" s="5"/>
      <c r="E164" s="4" t="s">
        <v>322</v>
      </c>
      <c r="F164" s="19">
        <v>0</v>
      </c>
      <c r="G164" s="19">
        <f t="shared" si="8"/>
        <v>0</v>
      </c>
      <c r="H164" s="20"/>
      <c r="I164" s="52"/>
    </row>
    <row r="165" spans="1:9" s="51" customFormat="1" ht="69.75" customHeight="1">
      <c r="A165" s="212"/>
      <c r="B165" s="213"/>
      <c r="C165" s="4"/>
      <c r="D165" s="5"/>
      <c r="E165" s="4" t="s">
        <v>386</v>
      </c>
      <c r="F165" s="19">
        <v>0</v>
      </c>
      <c r="G165" s="19">
        <f t="shared" si="8"/>
        <v>0</v>
      </c>
      <c r="H165" s="20"/>
      <c r="I165" s="52"/>
    </row>
    <row r="166" spans="1:9" s="51" customFormat="1" ht="87" customHeight="1">
      <c r="A166" s="206"/>
      <c r="B166" s="202"/>
      <c r="C166" s="4"/>
      <c r="D166" s="5"/>
      <c r="E166" s="4" t="s">
        <v>387</v>
      </c>
      <c r="F166" s="19">
        <v>0</v>
      </c>
      <c r="G166" s="19">
        <f t="shared" si="8"/>
        <v>0</v>
      </c>
      <c r="H166" s="20"/>
      <c r="I166" s="52"/>
    </row>
    <row r="167" spans="1:9" s="20" customFormat="1" ht="69.75" customHeight="1">
      <c r="A167" s="18" t="s">
        <v>131</v>
      </c>
      <c r="B167" s="4" t="s">
        <v>132</v>
      </c>
      <c r="C167" s="4"/>
      <c r="D167" s="5"/>
      <c r="E167" s="61" t="s">
        <v>322</v>
      </c>
      <c r="F167" s="19">
        <v>0</v>
      </c>
      <c r="G167" s="19">
        <f t="shared" si="8"/>
        <v>0</v>
      </c>
      <c r="I167" s="46"/>
    </row>
    <row r="168" spans="1:9" s="20" customFormat="1" ht="27.75" customHeight="1" hidden="1">
      <c r="A168" s="4">
        <v>180107</v>
      </c>
      <c r="B168" s="4" t="s">
        <v>260</v>
      </c>
      <c r="C168" s="4"/>
      <c r="D168" s="17"/>
      <c r="E168" s="4" t="s">
        <v>278</v>
      </c>
      <c r="F168" s="19">
        <v>0</v>
      </c>
      <c r="G168" s="19">
        <f t="shared" si="8"/>
        <v>0</v>
      </c>
      <c r="I168" s="46"/>
    </row>
    <row r="169" spans="1:9" s="20" customFormat="1" ht="63" customHeight="1">
      <c r="A169" s="204">
        <v>180409</v>
      </c>
      <c r="B169" s="204" t="s">
        <v>271</v>
      </c>
      <c r="C169" s="4"/>
      <c r="D169" s="17"/>
      <c r="E169" s="4" t="s">
        <v>278</v>
      </c>
      <c r="F169" s="19">
        <v>0</v>
      </c>
      <c r="G169" s="19">
        <f t="shared" si="8"/>
        <v>0</v>
      </c>
      <c r="I169" s="46"/>
    </row>
    <row r="170" spans="1:9" s="20" customFormat="1" ht="47.25">
      <c r="A170" s="204"/>
      <c r="B170" s="204"/>
      <c r="C170" s="4"/>
      <c r="D170" s="17"/>
      <c r="E170" s="4" t="s">
        <v>388</v>
      </c>
      <c r="F170" s="19">
        <v>0</v>
      </c>
      <c r="G170" s="19">
        <f t="shared" si="8"/>
        <v>0</v>
      </c>
      <c r="I170" s="46"/>
    </row>
    <row r="171" spans="1:9" s="20" customFormat="1" ht="47.25">
      <c r="A171" s="18" t="s">
        <v>64</v>
      </c>
      <c r="B171" s="4" t="s">
        <v>141</v>
      </c>
      <c r="C171" s="4"/>
      <c r="D171" s="5"/>
      <c r="E171" s="4" t="s">
        <v>378</v>
      </c>
      <c r="F171" s="19">
        <v>0</v>
      </c>
      <c r="G171" s="19">
        <f t="shared" si="8"/>
        <v>0</v>
      </c>
      <c r="I171" s="46"/>
    </row>
    <row r="172" spans="1:9" s="20" customFormat="1" ht="45.75" customHeight="1">
      <c r="A172" s="18" t="s">
        <v>112</v>
      </c>
      <c r="B172" s="4" t="s">
        <v>127</v>
      </c>
      <c r="C172" s="61" t="s">
        <v>322</v>
      </c>
      <c r="D172" s="17">
        <v>0</v>
      </c>
      <c r="E172" s="4" t="s">
        <v>278</v>
      </c>
      <c r="F172" s="12">
        <v>0</v>
      </c>
      <c r="G172" s="19">
        <f t="shared" si="8"/>
        <v>0</v>
      </c>
      <c r="I172" s="46"/>
    </row>
    <row r="173" spans="1:9" s="20" customFormat="1" ht="38.25" hidden="1">
      <c r="A173" s="18" t="s">
        <v>74</v>
      </c>
      <c r="B173" s="29" t="s">
        <v>246</v>
      </c>
      <c r="C173" s="4"/>
      <c r="D173" s="5"/>
      <c r="E173" s="4" t="s">
        <v>256</v>
      </c>
      <c r="F173" s="12">
        <v>0</v>
      </c>
      <c r="G173" s="9">
        <v>0</v>
      </c>
      <c r="I173" s="46"/>
    </row>
    <row r="174" spans="1:9" s="20" customFormat="1" ht="70.5" customHeight="1" hidden="1">
      <c r="A174" s="22" t="s">
        <v>270</v>
      </c>
      <c r="B174" s="23" t="s">
        <v>269</v>
      </c>
      <c r="C174" s="23"/>
      <c r="D174" s="24">
        <v>0</v>
      </c>
      <c r="E174" s="23"/>
      <c r="F174" s="30"/>
      <c r="G174" s="27">
        <v>0</v>
      </c>
      <c r="I174" s="46"/>
    </row>
    <row r="175" spans="1:9" s="20" customFormat="1" ht="36" customHeight="1" hidden="1">
      <c r="A175" s="18" t="s">
        <v>121</v>
      </c>
      <c r="B175" s="4" t="s">
        <v>128</v>
      </c>
      <c r="C175" s="4" t="s">
        <v>153</v>
      </c>
      <c r="D175" s="17">
        <v>0</v>
      </c>
      <c r="E175" s="4"/>
      <c r="F175" s="12"/>
      <c r="G175" s="9">
        <v>0</v>
      </c>
      <c r="I175" s="46"/>
    </row>
    <row r="176" spans="1:9" s="20" customFormat="1" ht="47.25" customHeight="1" hidden="1">
      <c r="A176" s="18" t="s">
        <v>129</v>
      </c>
      <c r="B176" s="4" t="s">
        <v>151</v>
      </c>
      <c r="C176" s="4" t="s">
        <v>244</v>
      </c>
      <c r="D176" s="17">
        <v>0</v>
      </c>
      <c r="E176" s="4"/>
      <c r="F176" s="12"/>
      <c r="G176" s="9">
        <v>0</v>
      </c>
      <c r="I176" s="46"/>
    </row>
    <row r="177" spans="1:9" s="20" customFormat="1" ht="47.25">
      <c r="A177" s="22" t="s">
        <v>188</v>
      </c>
      <c r="B177" s="23" t="s">
        <v>88</v>
      </c>
      <c r="C177" s="4"/>
      <c r="D177" s="24">
        <f>D179</f>
        <v>0</v>
      </c>
      <c r="E177" s="5"/>
      <c r="F177" s="24">
        <f>F178</f>
        <v>0</v>
      </c>
      <c r="G177" s="28">
        <f aca="true" t="shared" si="9" ref="G177:G184">D177+F177</f>
        <v>0</v>
      </c>
      <c r="H177" s="47"/>
      <c r="I177" s="46"/>
    </row>
    <row r="178" spans="1:9" s="20" customFormat="1" ht="48" customHeight="1">
      <c r="A178" s="18" t="s">
        <v>207</v>
      </c>
      <c r="B178" s="4" t="s">
        <v>208</v>
      </c>
      <c r="C178" s="4"/>
      <c r="D178" s="17"/>
      <c r="E178" s="4" t="s">
        <v>367</v>
      </c>
      <c r="F178" s="19">
        <v>0</v>
      </c>
      <c r="G178" s="19">
        <f t="shared" si="9"/>
        <v>0</v>
      </c>
      <c r="I178" s="46"/>
    </row>
    <row r="179" spans="1:9" s="20" customFormat="1" ht="63">
      <c r="A179" s="18" t="s">
        <v>112</v>
      </c>
      <c r="B179" s="4" t="s">
        <v>127</v>
      </c>
      <c r="C179" s="61" t="s">
        <v>334</v>
      </c>
      <c r="D179" s="17">
        <v>0</v>
      </c>
      <c r="E179" s="4"/>
      <c r="F179" s="9"/>
      <c r="G179" s="19">
        <f t="shared" si="9"/>
        <v>0</v>
      </c>
      <c r="I179" s="46"/>
    </row>
    <row r="180" spans="1:9" s="20" customFormat="1" ht="47.25">
      <c r="A180" s="22" t="s">
        <v>192</v>
      </c>
      <c r="B180" s="23" t="s">
        <v>90</v>
      </c>
      <c r="C180" s="4"/>
      <c r="D180" s="24">
        <f>D181+D182+D183+D184</f>
        <v>0</v>
      </c>
      <c r="E180" s="5"/>
      <c r="F180" s="28">
        <f>F181</f>
        <v>0</v>
      </c>
      <c r="G180" s="28">
        <f t="shared" si="9"/>
        <v>0</v>
      </c>
      <c r="I180" s="46"/>
    </row>
    <row r="181" spans="1:9" s="20" customFormat="1" ht="60" customHeight="1">
      <c r="A181" s="18" t="s">
        <v>207</v>
      </c>
      <c r="B181" s="4" t="s">
        <v>208</v>
      </c>
      <c r="C181" s="4"/>
      <c r="D181" s="17"/>
      <c r="E181" s="4" t="s">
        <v>319</v>
      </c>
      <c r="F181" s="19">
        <v>0</v>
      </c>
      <c r="G181" s="19">
        <f t="shared" si="9"/>
        <v>0</v>
      </c>
      <c r="I181" s="46"/>
    </row>
    <row r="182" spans="1:9" s="20" customFormat="1" ht="63">
      <c r="A182" s="210">
        <v>250404</v>
      </c>
      <c r="B182" s="210" t="s">
        <v>127</v>
      </c>
      <c r="C182" s="4" t="s">
        <v>343</v>
      </c>
      <c r="D182" s="21">
        <v>0</v>
      </c>
      <c r="E182" s="9"/>
      <c r="F182" s="31"/>
      <c r="G182" s="19">
        <f t="shared" si="9"/>
        <v>0</v>
      </c>
      <c r="I182" s="46"/>
    </row>
    <row r="183" spans="1:9" s="20" customFormat="1" ht="51" customHeight="1">
      <c r="A183" s="210"/>
      <c r="B183" s="210"/>
      <c r="C183" s="4" t="s">
        <v>361</v>
      </c>
      <c r="D183" s="21">
        <v>0</v>
      </c>
      <c r="E183" s="9"/>
      <c r="F183" s="31"/>
      <c r="G183" s="19">
        <f t="shared" si="9"/>
        <v>0</v>
      </c>
      <c r="I183" s="46"/>
    </row>
    <row r="184" spans="1:9" s="20" customFormat="1" ht="66" customHeight="1">
      <c r="A184" s="211"/>
      <c r="B184" s="210"/>
      <c r="C184" s="4" t="s">
        <v>362</v>
      </c>
      <c r="D184" s="21">
        <v>0</v>
      </c>
      <c r="E184" s="4"/>
      <c r="F184" s="9"/>
      <c r="G184" s="19">
        <f t="shared" si="9"/>
        <v>0</v>
      </c>
      <c r="I184" s="46"/>
    </row>
    <row r="185" spans="1:9" s="20" customFormat="1" ht="31.5" hidden="1">
      <c r="A185" s="22">
        <v>50</v>
      </c>
      <c r="B185" s="23" t="s">
        <v>228</v>
      </c>
      <c r="C185" s="4"/>
      <c r="D185" s="24">
        <v>0</v>
      </c>
      <c r="E185" s="5"/>
      <c r="F185" s="27">
        <v>0</v>
      </c>
      <c r="G185" s="27">
        <v>0</v>
      </c>
      <c r="I185" s="46"/>
    </row>
    <row r="186" spans="1:9" s="20" customFormat="1" ht="48.75" customHeight="1" hidden="1">
      <c r="A186" s="18" t="s">
        <v>207</v>
      </c>
      <c r="B186" s="4" t="s">
        <v>208</v>
      </c>
      <c r="C186" s="4" t="s">
        <v>220</v>
      </c>
      <c r="D186" s="21"/>
      <c r="E186" s="4"/>
      <c r="F186" s="9"/>
      <c r="G186" s="9">
        <v>0</v>
      </c>
      <c r="I186" s="46"/>
    </row>
    <row r="187" spans="1:9" s="20" customFormat="1" ht="47.25">
      <c r="A187" s="22" t="s">
        <v>196</v>
      </c>
      <c r="B187" s="23" t="s">
        <v>94</v>
      </c>
      <c r="C187" s="23"/>
      <c r="D187" s="24">
        <v>0</v>
      </c>
      <c r="E187" s="32"/>
      <c r="F187" s="24">
        <f>F188+F189</f>
        <v>0</v>
      </c>
      <c r="G187" s="24">
        <f aca="true" t="shared" si="10" ref="G187:G195">D187+F187</f>
        <v>0</v>
      </c>
      <c r="H187" s="47"/>
      <c r="I187" s="46"/>
    </row>
    <row r="188" spans="1:9" s="20" customFormat="1" ht="47.25">
      <c r="A188" s="18" t="s">
        <v>207</v>
      </c>
      <c r="B188" s="4" t="s">
        <v>208</v>
      </c>
      <c r="C188" s="4"/>
      <c r="D188" s="17"/>
      <c r="E188" s="4" t="s">
        <v>352</v>
      </c>
      <c r="F188" s="17">
        <v>0</v>
      </c>
      <c r="G188" s="17">
        <f t="shared" si="10"/>
        <v>0</v>
      </c>
      <c r="I188" s="46"/>
    </row>
    <row r="189" spans="1:9" s="20" customFormat="1" ht="47.25">
      <c r="A189" s="18" t="s">
        <v>76</v>
      </c>
      <c r="B189" s="4" t="s">
        <v>77</v>
      </c>
      <c r="C189" s="4"/>
      <c r="D189" s="17"/>
      <c r="E189" s="4" t="s">
        <v>353</v>
      </c>
      <c r="F189" s="19">
        <v>0</v>
      </c>
      <c r="G189" s="17">
        <f t="shared" si="10"/>
        <v>0</v>
      </c>
      <c r="I189" s="46"/>
    </row>
    <row r="190" spans="1:9" s="20" customFormat="1" ht="50.25" customHeight="1">
      <c r="A190" s="22" t="s">
        <v>193</v>
      </c>
      <c r="B190" s="23" t="s">
        <v>91</v>
      </c>
      <c r="C190" s="4"/>
      <c r="D190" s="24">
        <f>D194</f>
        <v>0</v>
      </c>
      <c r="E190" s="5"/>
      <c r="F190" s="24">
        <f>F192+F193</f>
        <v>0</v>
      </c>
      <c r="G190" s="24">
        <f t="shared" si="10"/>
        <v>0</v>
      </c>
      <c r="H190" s="47"/>
      <c r="I190" s="46"/>
    </row>
    <row r="191" spans="1:9" s="20" customFormat="1" ht="33" customHeight="1" hidden="1">
      <c r="A191" s="18" t="s">
        <v>207</v>
      </c>
      <c r="B191" s="4" t="s">
        <v>208</v>
      </c>
      <c r="C191" s="4" t="s">
        <v>223</v>
      </c>
      <c r="D191" s="17"/>
      <c r="E191" s="4"/>
      <c r="F191" s="19"/>
      <c r="G191" s="24">
        <f t="shared" si="10"/>
        <v>0</v>
      </c>
      <c r="I191" s="46"/>
    </row>
    <row r="192" spans="1:9" s="20" customFormat="1" ht="47.25">
      <c r="A192" s="4">
        <v>240601</v>
      </c>
      <c r="B192" s="4" t="s">
        <v>141</v>
      </c>
      <c r="C192" s="4"/>
      <c r="D192" s="5"/>
      <c r="E192" s="4" t="s">
        <v>342</v>
      </c>
      <c r="F192" s="19">
        <v>0</v>
      </c>
      <c r="G192" s="17">
        <f t="shared" si="10"/>
        <v>0</v>
      </c>
      <c r="I192" s="46"/>
    </row>
    <row r="193" spans="1:9" s="20" customFormat="1" ht="72" customHeight="1">
      <c r="A193" s="4">
        <v>240900</v>
      </c>
      <c r="B193" s="4" t="s">
        <v>268</v>
      </c>
      <c r="C193" s="4"/>
      <c r="D193" s="5"/>
      <c r="E193" s="4" t="s">
        <v>332</v>
      </c>
      <c r="F193" s="19">
        <v>0</v>
      </c>
      <c r="G193" s="17">
        <f t="shared" si="10"/>
        <v>0</v>
      </c>
      <c r="I193" s="46"/>
    </row>
    <row r="194" spans="1:9" s="20" customFormat="1" ht="54" customHeight="1">
      <c r="A194" s="4">
        <v>250404</v>
      </c>
      <c r="B194" s="4" t="s">
        <v>257</v>
      </c>
      <c r="C194" s="4" t="s">
        <v>360</v>
      </c>
      <c r="D194" s="17">
        <v>0</v>
      </c>
      <c r="E194" s="4"/>
      <c r="F194" s="19"/>
      <c r="G194" s="17">
        <f t="shared" si="10"/>
        <v>0</v>
      </c>
      <c r="I194" s="46"/>
    </row>
    <row r="195" spans="1:9" s="20" customFormat="1" ht="47.25">
      <c r="A195" s="22" t="s">
        <v>191</v>
      </c>
      <c r="B195" s="23" t="s">
        <v>92</v>
      </c>
      <c r="C195" s="4"/>
      <c r="D195" s="24">
        <f>D197+D198+D204+D206</f>
        <v>0</v>
      </c>
      <c r="E195" s="5"/>
      <c r="F195" s="24">
        <f>F200+F201+F202+F204+F206</f>
        <v>0</v>
      </c>
      <c r="G195" s="24">
        <f t="shared" si="10"/>
        <v>0</v>
      </c>
      <c r="H195" s="47"/>
      <c r="I195" s="46"/>
    </row>
    <row r="196" spans="1:9" s="20" customFormat="1" ht="69" customHeight="1" hidden="1">
      <c r="A196" s="18" t="s">
        <v>207</v>
      </c>
      <c r="B196" s="4" t="s">
        <v>208</v>
      </c>
      <c r="C196" s="4" t="s">
        <v>226</v>
      </c>
      <c r="D196" s="17"/>
      <c r="E196" s="5"/>
      <c r="F196" s="9"/>
      <c r="G196" s="24">
        <f aca="true" t="shared" si="11" ref="G196:G206">D196+F196</f>
        <v>0</v>
      </c>
      <c r="I196" s="46"/>
    </row>
    <row r="197" spans="1:9" s="20" customFormat="1" ht="84.75" customHeight="1">
      <c r="A197" s="18" t="s">
        <v>66</v>
      </c>
      <c r="B197" s="4" t="s">
        <v>67</v>
      </c>
      <c r="C197" s="4" t="s">
        <v>348</v>
      </c>
      <c r="D197" s="17">
        <v>0</v>
      </c>
      <c r="E197" s="4"/>
      <c r="F197" s="19"/>
      <c r="G197" s="17">
        <f t="shared" si="11"/>
        <v>0</v>
      </c>
      <c r="I197" s="46"/>
    </row>
    <row r="198" spans="1:9" s="20" customFormat="1" ht="72.75" customHeight="1">
      <c r="A198" s="18" t="s">
        <v>117</v>
      </c>
      <c r="B198" s="4" t="s">
        <v>118</v>
      </c>
      <c r="C198" s="4" t="s">
        <v>299</v>
      </c>
      <c r="D198" s="17">
        <v>0</v>
      </c>
      <c r="E198" s="4"/>
      <c r="F198" s="9"/>
      <c r="G198" s="17">
        <f t="shared" si="11"/>
        <v>0</v>
      </c>
      <c r="I198" s="46"/>
    </row>
    <row r="199" spans="1:9" s="20" customFormat="1" ht="78.75" hidden="1">
      <c r="A199" s="205" t="s">
        <v>119</v>
      </c>
      <c r="B199" s="201" t="s">
        <v>120</v>
      </c>
      <c r="C199" s="4"/>
      <c r="D199" s="17"/>
      <c r="E199" s="4" t="s">
        <v>299</v>
      </c>
      <c r="F199" s="19">
        <v>0</v>
      </c>
      <c r="G199" s="24">
        <f t="shared" si="11"/>
        <v>0</v>
      </c>
      <c r="I199" s="46"/>
    </row>
    <row r="200" spans="1:9" s="20" customFormat="1" ht="63">
      <c r="A200" s="206"/>
      <c r="B200" s="202"/>
      <c r="C200" s="4"/>
      <c r="D200" s="17"/>
      <c r="E200" s="4" t="s">
        <v>320</v>
      </c>
      <c r="F200" s="19">
        <v>0</v>
      </c>
      <c r="G200" s="17">
        <f t="shared" si="11"/>
        <v>0</v>
      </c>
      <c r="I200" s="46"/>
    </row>
    <row r="201" spans="1:9" s="20" customFormat="1" ht="62.25" customHeight="1">
      <c r="A201" s="203" t="s">
        <v>133</v>
      </c>
      <c r="B201" s="204" t="s">
        <v>271</v>
      </c>
      <c r="C201" s="204"/>
      <c r="D201" s="17"/>
      <c r="E201" s="4" t="s">
        <v>299</v>
      </c>
      <c r="F201" s="19">
        <v>0</v>
      </c>
      <c r="G201" s="17">
        <f t="shared" si="11"/>
        <v>0</v>
      </c>
      <c r="I201" s="46"/>
    </row>
    <row r="202" spans="1:9" s="20" customFormat="1" ht="63">
      <c r="A202" s="203"/>
      <c r="B202" s="204"/>
      <c r="C202" s="204"/>
      <c r="D202" s="209"/>
      <c r="E202" s="4" t="s">
        <v>333</v>
      </c>
      <c r="F202" s="19">
        <v>0</v>
      </c>
      <c r="G202" s="17">
        <f t="shared" si="11"/>
        <v>0</v>
      </c>
      <c r="I202" s="46"/>
    </row>
    <row r="203" spans="1:9" s="20" customFormat="1" ht="47.25" hidden="1">
      <c r="A203" s="203"/>
      <c r="B203" s="204"/>
      <c r="C203" s="204"/>
      <c r="D203" s="209"/>
      <c r="E203" s="4" t="s">
        <v>356</v>
      </c>
      <c r="F203" s="9">
        <v>0</v>
      </c>
      <c r="G203" s="17">
        <f t="shared" si="11"/>
        <v>0</v>
      </c>
      <c r="I203" s="46"/>
    </row>
    <row r="204" spans="1:9" s="20" customFormat="1" ht="69" customHeight="1">
      <c r="A204" s="18" t="s">
        <v>261</v>
      </c>
      <c r="B204" s="4" t="s">
        <v>262</v>
      </c>
      <c r="C204" s="4" t="s">
        <v>299</v>
      </c>
      <c r="D204" s="17">
        <v>0</v>
      </c>
      <c r="E204" s="4" t="s">
        <v>333</v>
      </c>
      <c r="F204" s="19">
        <v>0</v>
      </c>
      <c r="G204" s="17">
        <f t="shared" si="11"/>
        <v>0</v>
      </c>
      <c r="I204" s="46"/>
    </row>
    <row r="205" spans="1:9" s="20" customFormat="1" ht="63">
      <c r="A205" s="203" t="s">
        <v>112</v>
      </c>
      <c r="B205" s="204" t="s">
        <v>127</v>
      </c>
      <c r="C205" s="4" t="s">
        <v>333</v>
      </c>
      <c r="D205" s="17">
        <v>0</v>
      </c>
      <c r="E205" s="4"/>
      <c r="F205" s="9"/>
      <c r="G205" s="17">
        <f t="shared" si="11"/>
        <v>0</v>
      </c>
      <c r="I205" s="46"/>
    </row>
    <row r="206" spans="1:9" s="20" customFormat="1" ht="63">
      <c r="A206" s="203"/>
      <c r="B206" s="204"/>
      <c r="C206" s="4" t="s">
        <v>358</v>
      </c>
      <c r="D206" s="17">
        <v>0</v>
      </c>
      <c r="E206" s="4" t="s">
        <v>358</v>
      </c>
      <c r="F206" s="19">
        <v>0</v>
      </c>
      <c r="G206" s="17">
        <f t="shared" si="11"/>
        <v>0</v>
      </c>
      <c r="I206" s="46"/>
    </row>
    <row r="207" spans="1:9" s="20" customFormat="1" ht="78.75" customHeight="1">
      <c r="A207" s="22" t="s">
        <v>186</v>
      </c>
      <c r="B207" s="23" t="s">
        <v>87</v>
      </c>
      <c r="C207" s="4"/>
      <c r="D207" s="24">
        <f>D209+D210+D211</f>
        <v>0</v>
      </c>
      <c r="E207" s="5"/>
      <c r="F207" s="28">
        <f>F209+F210</f>
        <v>0</v>
      </c>
      <c r="G207" s="28">
        <f aca="true" t="shared" si="12" ref="G207:G224">D207+F207</f>
        <v>0</v>
      </c>
      <c r="H207" s="47"/>
      <c r="I207" s="46"/>
    </row>
    <row r="208" spans="1:9" s="20" customFormat="1" ht="65.25" customHeight="1" hidden="1">
      <c r="A208" s="18" t="s">
        <v>207</v>
      </c>
      <c r="B208" s="4" t="s">
        <v>208</v>
      </c>
      <c r="C208" s="4" t="s">
        <v>217</v>
      </c>
      <c r="D208" s="17"/>
      <c r="E208" s="4"/>
      <c r="F208" s="12"/>
      <c r="G208" s="28">
        <f t="shared" si="12"/>
        <v>0</v>
      </c>
      <c r="I208" s="46"/>
    </row>
    <row r="209" spans="1:9" s="20" customFormat="1" ht="78.75" customHeight="1">
      <c r="A209" s="18" t="s">
        <v>123</v>
      </c>
      <c r="B209" s="4" t="s">
        <v>124</v>
      </c>
      <c r="C209" s="4" t="s">
        <v>323</v>
      </c>
      <c r="D209" s="17">
        <v>0</v>
      </c>
      <c r="E209" s="4" t="s">
        <v>323</v>
      </c>
      <c r="F209" s="12">
        <v>0</v>
      </c>
      <c r="G209" s="19">
        <f t="shared" si="12"/>
        <v>0</v>
      </c>
      <c r="H209" s="47"/>
      <c r="I209" s="46"/>
    </row>
    <row r="210" spans="1:9" s="20" customFormat="1" ht="78.75">
      <c r="A210" s="203" t="s">
        <v>125</v>
      </c>
      <c r="B210" s="204" t="s">
        <v>126</v>
      </c>
      <c r="C210" s="4" t="s">
        <v>323</v>
      </c>
      <c r="D210" s="17">
        <v>0</v>
      </c>
      <c r="E210" s="4" t="s">
        <v>323</v>
      </c>
      <c r="F210" s="12">
        <v>0</v>
      </c>
      <c r="G210" s="19">
        <f t="shared" si="12"/>
        <v>0</v>
      </c>
      <c r="H210" s="47"/>
      <c r="I210" s="46"/>
    </row>
    <row r="211" spans="1:9" s="20" customFormat="1" ht="68.25" customHeight="1">
      <c r="A211" s="203"/>
      <c r="B211" s="204"/>
      <c r="C211" s="4" t="s">
        <v>349</v>
      </c>
      <c r="D211" s="17">
        <v>0</v>
      </c>
      <c r="E211" s="4"/>
      <c r="F211" s="12"/>
      <c r="G211" s="19">
        <f t="shared" si="12"/>
        <v>0</v>
      </c>
      <c r="I211" s="46"/>
    </row>
    <row r="212" spans="1:9" s="20" customFormat="1" ht="47.25">
      <c r="A212" s="22" t="s">
        <v>195</v>
      </c>
      <c r="B212" s="23" t="s">
        <v>93</v>
      </c>
      <c r="C212" s="4"/>
      <c r="D212" s="24">
        <f>D217</f>
        <v>0</v>
      </c>
      <c r="E212" s="5"/>
      <c r="F212" s="24">
        <f>F213+F214+F215</f>
        <v>0</v>
      </c>
      <c r="G212" s="24">
        <f t="shared" si="12"/>
        <v>0</v>
      </c>
      <c r="H212" s="47"/>
      <c r="I212" s="46"/>
    </row>
    <row r="213" spans="1:9" s="20" customFormat="1" ht="47.25">
      <c r="A213" s="18" t="s">
        <v>207</v>
      </c>
      <c r="B213" s="4" t="s">
        <v>208</v>
      </c>
      <c r="C213" s="4"/>
      <c r="D213" s="17"/>
      <c r="E213" s="4" t="s">
        <v>298</v>
      </c>
      <c r="F213" s="17">
        <v>0</v>
      </c>
      <c r="G213" s="17">
        <f t="shared" si="12"/>
        <v>0</v>
      </c>
      <c r="I213" s="46"/>
    </row>
    <row r="214" spans="1:9" s="20" customFormat="1" ht="63">
      <c r="A214" s="18" t="s">
        <v>119</v>
      </c>
      <c r="B214" s="4" t="s">
        <v>120</v>
      </c>
      <c r="C214" s="4"/>
      <c r="D214" s="5"/>
      <c r="E214" s="4" t="s">
        <v>324</v>
      </c>
      <c r="F214" s="12">
        <v>0</v>
      </c>
      <c r="G214" s="17">
        <f t="shared" si="12"/>
        <v>0</v>
      </c>
      <c r="I214" s="46"/>
    </row>
    <row r="215" spans="1:9" s="20" customFormat="1" ht="79.5" customHeight="1">
      <c r="A215" s="18" t="s">
        <v>134</v>
      </c>
      <c r="B215" s="4" t="s">
        <v>135</v>
      </c>
      <c r="C215" s="4"/>
      <c r="D215" s="5"/>
      <c r="E215" s="4" t="s">
        <v>324</v>
      </c>
      <c r="F215" s="19">
        <v>0</v>
      </c>
      <c r="G215" s="17">
        <f t="shared" si="12"/>
        <v>0</v>
      </c>
      <c r="I215" s="46"/>
    </row>
    <row r="216" spans="1:9" s="20" customFormat="1" ht="78.75" hidden="1">
      <c r="A216" s="18" t="s">
        <v>123</v>
      </c>
      <c r="B216" s="4" t="s">
        <v>266</v>
      </c>
      <c r="C216" s="4"/>
      <c r="D216" s="17"/>
      <c r="E216" s="4" t="s">
        <v>323</v>
      </c>
      <c r="F216" s="19">
        <v>0</v>
      </c>
      <c r="G216" s="24">
        <f t="shared" si="12"/>
        <v>0</v>
      </c>
      <c r="I216" s="46"/>
    </row>
    <row r="217" spans="1:9" s="20" customFormat="1" ht="53.25" customHeight="1">
      <c r="A217" s="18" t="s">
        <v>112</v>
      </c>
      <c r="B217" s="4" t="s">
        <v>127</v>
      </c>
      <c r="C217" s="4" t="s">
        <v>303</v>
      </c>
      <c r="D217" s="17">
        <v>0</v>
      </c>
      <c r="E217" s="4"/>
      <c r="F217" s="19"/>
      <c r="G217" s="17">
        <f t="shared" si="12"/>
        <v>0</v>
      </c>
      <c r="I217" s="46"/>
    </row>
    <row r="218" spans="1:9" s="20" customFormat="1" ht="46.5" customHeight="1">
      <c r="A218" s="22" t="s">
        <v>194</v>
      </c>
      <c r="B218" s="23" t="s">
        <v>72</v>
      </c>
      <c r="C218" s="4"/>
      <c r="D218" s="24">
        <f>D220+D221+D223</f>
        <v>0</v>
      </c>
      <c r="E218" s="5"/>
      <c r="F218" s="27"/>
      <c r="G218" s="28">
        <f t="shared" si="12"/>
        <v>0</v>
      </c>
      <c r="I218" s="46"/>
    </row>
    <row r="219" spans="1:9" s="20" customFormat="1" ht="46.5" customHeight="1" hidden="1">
      <c r="A219" s="26" t="s">
        <v>207</v>
      </c>
      <c r="B219" s="4" t="s">
        <v>208</v>
      </c>
      <c r="C219" s="4" t="s">
        <v>227</v>
      </c>
      <c r="D219" s="21"/>
      <c r="E219" s="5"/>
      <c r="F219" s="19"/>
      <c r="G219" s="28">
        <f t="shared" si="12"/>
        <v>0</v>
      </c>
      <c r="I219" s="46"/>
    </row>
    <row r="220" spans="1:9" s="20" customFormat="1" ht="70.5" customHeight="1">
      <c r="A220" s="18" t="s">
        <v>207</v>
      </c>
      <c r="B220" s="4" t="s">
        <v>208</v>
      </c>
      <c r="C220" s="4" t="s">
        <v>334</v>
      </c>
      <c r="D220" s="21">
        <v>0</v>
      </c>
      <c r="E220" s="5"/>
      <c r="F220" s="19"/>
      <c r="G220" s="19">
        <f t="shared" si="12"/>
        <v>0</v>
      </c>
      <c r="I220" s="46"/>
    </row>
    <row r="221" spans="1:9" s="20" customFormat="1" ht="15.75">
      <c r="A221" s="26">
        <v>230000</v>
      </c>
      <c r="B221" s="4" t="s">
        <v>236</v>
      </c>
      <c r="C221" s="204" t="s">
        <v>363</v>
      </c>
      <c r="D221" s="21">
        <v>0</v>
      </c>
      <c r="E221" s="5"/>
      <c r="F221" s="27"/>
      <c r="G221" s="19">
        <f t="shared" si="12"/>
        <v>0</v>
      </c>
      <c r="I221" s="46"/>
    </row>
    <row r="222" spans="1:9" s="20" customFormat="1" ht="48" customHeight="1" hidden="1">
      <c r="A222" s="26">
        <v>210105</v>
      </c>
      <c r="B222" s="4"/>
      <c r="C222" s="204"/>
      <c r="D222" s="21">
        <v>0</v>
      </c>
      <c r="E222" s="5"/>
      <c r="F222" s="19">
        <v>0</v>
      </c>
      <c r="G222" s="19">
        <f t="shared" si="12"/>
        <v>0</v>
      </c>
      <c r="I222" s="46"/>
    </row>
    <row r="223" spans="1:9" s="20" customFormat="1" ht="33" customHeight="1">
      <c r="A223" s="18" t="s">
        <v>112</v>
      </c>
      <c r="B223" s="4" t="s">
        <v>127</v>
      </c>
      <c r="C223" s="204"/>
      <c r="D223" s="17">
        <v>0</v>
      </c>
      <c r="E223" s="4"/>
      <c r="F223" s="9"/>
      <c r="G223" s="19">
        <f t="shared" si="12"/>
        <v>0</v>
      </c>
      <c r="I223" s="46"/>
    </row>
    <row r="224" spans="1:9" s="20" customFormat="1" ht="47.25">
      <c r="A224" s="22" t="s">
        <v>235</v>
      </c>
      <c r="B224" s="23" t="s">
        <v>72</v>
      </c>
      <c r="C224" s="4"/>
      <c r="D224" s="32">
        <v>0</v>
      </c>
      <c r="E224" s="4"/>
      <c r="F224" s="24">
        <f>F226+F227</f>
        <v>0</v>
      </c>
      <c r="G224" s="24">
        <f t="shared" si="12"/>
        <v>0</v>
      </c>
      <c r="H224" s="47"/>
      <c r="I224" s="46"/>
    </row>
    <row r="225" spans="1:9" s="20" customFormat="1" ht="45" customHeight="1" hidden="1">
      <c r="A225" s="18" t="s">
        <v>136</v>
      </c>
      <c r="B225" s="4" t="s">
        <v>237</v>
      </c>
      <c r="C225" s="4"/>
      <c r="D225" s="5"/>
      <c r="E225" s="4" t="s">
        <v>245</v>
      </c>
      <c r="F225" s="12">
        <v>0</v>
      </c>
      <c r="G225" s="9">
        <v>0</v>
      </c>
      <c r="I225" s="46"/>
    </row>
    <row r="226" spans="1:9" s="20" customFormat="1" ht="51.75" customHeight="1">
      <c r="A226" s="207">
        <v>250380</v>
      </c>
      <c r="B226" s="201" t="s">
        <v>341</v>
      </c>
      <c r="C226" s="4"/>
      <c r="D226" s="5"/>
      <c r="E226" s="4" t="s">
        <v>322</v>
      </c>
      <c r="F226" s="19">
        <v>0</v>
      </c>
      <c r="G226" s="19">
        <f>F226</f>
        <v>0</v>
      </c>
      <c r="I226" s="46"/>
    </row>
    <row r="227" spans="1:9" s="20" customFormat="1" ht="51.75" customHeight="1">
      <c r="A227" s="208"/>
      <c r="B227" s="202"/>
      <c r="C227" s="4"/>
      <c r="D227" s="5"/>
      <c r="E227" s="4" t="s">
        <v>344</v>
      </c>
      <c r="F227" s="19">
        <v>0</v>
      </c>
      <c r="G227" s="19">
        <f>F227</f>
        <v>0</v>
      </c>
      <c r="I227" s="46"/>
    </row>
    <row r="228" spans="1:9" s="20" customFormat="1" ht="47.25">
      <c r="A228" s="22" t="s">
        <v>176</v>
      </c>
      <c r="B228" s="23" t="s">
        <v>75</v>
      </c>
      <c r="C228" s="4"/>
      <c r="D228" s="24">
        <f>D232+D235+D236+D237+D238+D241+D242</f>
        <v>0</v>
      </c>
      <c r="E228" s="4"/>
      <c r="F228" s="24">
        <f>F231+F234</f>
        <v>0</v>
      </c>
      <c r="G228" s="24">
        <f>D228+F228</f>
        <v>0</v>
      </c>
      <c r="H228" s="47"/>
      <c r="I228" s="46"/>
    </row>
    <row r="229" spans="1:9" s="20" customFormat="1" ht="49.5" customHeight="1" hidden="1">
      <c r="A229" s="18" t="s">
        <v>207</v>
      </c>
      <c r="B229" s="4" t="s">
        <v>208</v>
      </c>
      <c r="C229" s="4" t="s">
        <v>213</v>
      </c>
      <c r="D229" s="17"/>
      <c r="E229" s="4" t="s">
        <v>213</v>
      </c>
      <c r="F229" s="19"/>
      <c r="G229" s="9">
        <v>0</v>
      </c>
      <c r="I229" s="46"/>
    </row>
    <row r="230" spans="1:9" s="20" customFormat="1" ht="72" customHeight="1" hidden="1">
      <c r="A230" s="203" t="s">
        <v>207</v>
      </c>
      <c r="B230" s="204" t="s">
        <v>208</v>
      </c>
      <c r="C230" s="4" t="s">
        <v>334</v>
      </c>
      <c r="D230" s="17">
        <v>0</v>
      </c>
      <c r="E230" s="4"/>
      <c r="F230" s="19"/>
      <c r="G230" s="19">
        <v>0</v>
      </c>
      <c r="I230" s="46"/>
    </row>
    <row r="231" spans="1:9" s="20" customFormat="1" ht="63" customHeight="1">
      <c r="A231" s="203"/>
      <c r="B231" s="204"/>
      <c r="C231" s="4"/>
      <c r="D231" s="17"/>
      <c r="E231" s="4" t="s">
        <v>319</v>
      </c>
      <c r="F231" s="19">
        <v>0</v>
      </c>
      <c r="G231" s="19">
        <f>F231</f>
        <v>0</v>
      </c>
      <c r="I231" s="46"/>
    </row>
    <row r="232" spans="1:9" s="20" customFormat="1" ht="47.25" customHeight="1">
      <c r="A232" s="18" t="s">
        <v>129</v>
      </c>
      <c r="B232" s="4" t="s">
        <v>130</v>
      </c>
      <c r="C232" s="4" t="s">
        <v>322</v>
      </c>
      <c r="D232" s="17">
        <v>0</v>
      </c>
      <c r="E232" s="4"/>
      <c r="F232" s="19"/>
      <c r="G232" s="19">
        <f>D232</f>
        <v>0</v>
      </c>
      <c r="I232" s="46"/>
    </row>
    <row r="233" spans="1:9" s="20" customFormat="1" ht="42.75" customHeight="1" hidden="1">
      <c r="A233" s="18" t="s">
        <v>119</v>
      </c>
      <c r="B233" s="4" t="s">
        <v>120</v>
      </c>
      <c r="C233" s="4"/>
      <c r="D233" s="17"/>
      <c r="E233" s="4" t="s">
        <v>241</v>
      </c>
      <c r="F233" s="19">
        <v>0</v>
      </c>
      <c r="G233" s="9">
        <v>0</v>
      </c>
      <c r="I233" s="46"/>
    </row>
    <row r="234" spans="1:9" s="20" customFormat="1" ht="95.25" customHeight="1">
      <c r="A234" s="18" t="s">
        <v>106</v>
      </c>
      <c r="B234" s="4" t="s">
        <v>268</v>
      </c>
      <c r="C234" s="4"/>
      <c r="D234" s="17"/>
      <c r="E234" s="4" t="s">
        <v>332</v>
      </c>
      <c r="F234" s="19">
        <v>0</v>
      </c>
      <c r="G234" s="19">
        <f>F234</f>
        <v>0</v>
      </c>
      <c r="I234" s="46"/>
    </row>
    <row r="235" spans="1:9" s="20" customFormat="1" ht="47.25">
      <c r="A235" s="203" t="s">
        <v>112</v>
      </c>
      <c r="B235" s="204" t="s">
        <v>127</v>
      </c>
      <c r="C235" s="4" t="s">
        <v>300</v>
      </c>
      <c r="D235" s="17">
        <v>0</v>
      </c>
      <c r="E235" s="4"/>
      <c r="F235" s="9"/>
      <c r="G235" s="19">
        <f>D235</f>
        <v>0</v>
      </c>
      <c r="I235" s="46"/>
    </row>
    <row r="236" spans="1:9" s="20" customFormat="1" ht="47.25">
      <c r="A236" s="203"/>
      <c r="B236" s="204"/>
      <c r="C236" s="4" t="s">
        <v>322</v>
      </c>
      <c r="D236" s="17">
        <v>0</v>
      </c>
      <c r="E236" s="4"/>
      <c r="F236" s="9"/>
      <c r="G236" s="19">
        <f aca="true" t="shared" si="13" ref="G236:G242">D236</f>
        <v>0</v>
      </c>
      <c r="I236" s="46"/>
    </row>
    <row r="237" spans="1:9" s="20" customFormat="1" ht="63">
      <c r="A237" s="203"/>
      <c r="B237" s="204"/>
      <c r="C237" s="4" t="s">
        <v>304</v>
      </c>
      <c r="D237" s="17">
        <v>0</v>
      </c>
      <c r="E237" s="4"/>
      <c r="F237" s="9"/>
      <c r="G237" s="19">
        <f t="shared" si="13"/>
        <v>0</v>
      </c>
      <c r="I237" s="46"/>
    </row>
    <row r="238" spans="1:9" s="20" customFormat="1" ht="47.25">
      <c r="A238" s="203"/>
      <c r="B238" s="204"/>
      <c r="C238" s="4" t="s">
        <v>309</v>
      </c>
      <c r="D238" s="17">
        <v>0</v>
      </c>
      <c r="E238" s="4"/>
      <c r="F238" s="9"/>
      <c r="G238" s="19">
        <f t="shared" si="13"/>
        <v>0</v>
      </c>
      <c r="I238" s="46"/>
    </row>
    <row r="239" spans="1:9" s="20" customFormat="1" ht="45.75" customHeight="1" hidden="1">
      <c r="A239" s="203"/>
      <c r="B239" s="204"/>
      <c r="C239" s="4"/>
      <c r="D239" s="5"/>
      <c r="E239" s="4"/>
      <c r="F239" s="9"/>
      <c r="G239" s="19">
        <f t="shared" si="13"/>
        <v>0</v>
      </c>
      <c r="I239" s="46"/>
    </row>
    <row r="240" spans="1:9" s="20" customFormat="1" ht="56.25" customHeight="1" hidden="1">
      <c r="A240" s="203"/>
      <c r="B240" s="204"/>
      <c r="C240" s="4"/>
      <c r="D240" s="5"/>
      <c r="E240" s="4"/>
      <c r="F240" s="9"/>
      <c r="G240" s="19">
        <f t="shared" si="13"/>
        <v>0</v>
      </c>
      <c r="I240" s="46"/>
    </row>
    <row r="241" spans="1:9" s="20" customFormat="1" ht="63">
      <c r="A241" s="203"/>
      <c r="B241" s="204"/>
      <c r="C241" s="4" t="s">
        <v>325</v>
      </c>
      <c r="D241" s="17">
        <v>0</v>
      </c>
      <c r="E241" s="4"/>
      <c r="F241" s="9"/>
      <c r="G241" s="19">
        <f t="shared" si="13"/>
        <v>0</v>
      </c>
      <c r="I241" s="46"/>
    </row>
    <row r="242" spans="1:9" s="20" customFormat="1" ht="63.75" customHeight="1">
      <c r="A242" s="203"/>
      <c r="B242" s="204"/>
      <c r="C242" s="4" t="s">
        <v>334</v>
      </c>
      <c r="D242" s="17">
        <v>0</v>
      </c>
      <c r="E242" s="4"/>
      <c r="F242" s="9"/>
      <c r="G242" s="19">
        <f t="shared" si="13"/>
        <v>0</v>
      </c>
      <c r="I242" s="46"/>
    </row>
    <row r="243" spans="1:9" s="20" customFormat="1" ht="47.25">
      <c r="A243" s="22" t="s">
        <v>177</v>
      </c>
      <c r="B243" s="23" t="s">
        <v>78</v>
      </c>
      <c r="C243" s="4"/>
      <c r="D243" s="24">
        <f>D245+D249+D251+D252+D253+D254</f>
        <v>0</v>
      </c>
      <c r="E243" s="23"/>
      <c r="F243" s="24">
        <f>F244+F245+F246+F248</f>
        <v>0</v>
      </c>
      <c r="G243" s="24">
        <f>D243+F243</f>
        <v>0</v>
      </c>
      <c r="H243" s="47"/>
      <c r="I243" s="46"/>
    </row>
    <row r="244" spans="1:9" s="20" customFormat="1" ht="43.5" customHeight="1">
      <c r="A244" s="18" t="s">
        <v>207</v>
      </c>
      <c r="B244" s="4" t="s">
        <v>208</v>
      </c>
      <c r="C244" s="4"/>
      <c r="D244" s="17"/>
      <c r="E244" s="4" t="s">
        <v>319</v>
      </c>
      <c r="F244" s="19">
        <v>0</v>
      </c>
      <c r="G244" s="19">
        <f>F244</f>
        <v>0</v>
      </c>
      <c r="I244" s="46"/>
    </row>
    <row r="245" spans="1:9" s="20" customFormat="1" ht="50.25" customHeight="1">
      <c r="A245" s="203" t="s">
        <v>129</v>
      </c>
      <c r="B245" s="204" t="s">
        <v>130</v>
      </c>
      <c r="C245" s="4" t="s">
        <v>322</v>
      </c>
      <c r="D245" s="17">
        <v>0</v>
      </c>
      <c r="E245" s="4" t="s">
        <v>322</v>
      </c>
      <c r="F245" s="19">
        <v>0</v>
      </c>
      <c r="G245" s="19">
        <f>D245+F245</f>
        <v>0</v>
      </c>
      <c r="I245" s="46"/>
    </row>
    <row r="246" spans="1:9" s="20" customFormat="1" ht="47.25">
      <c r="A246" s="203"/>
      <c r="B246" s="204"/>
      <c r="C246" s="4"/>
      <c r="D246" s="17"/>
      <c r="E246" s="35" t="s">
        <v>311</v>
      </c>
      <c r="F246" s="39">
        <v>0</v>
      </c>
      <c r="G246" s="39">
        <f>F246</f>
        <v>0</v>
      </c>
      <c r="I246" s="46"/>
    </row>
    <row r="247" spans="1:9" s="20" customFormat="1" ht="21.75" customHeight="1" hidden="1">
      <c r="A247" s="18" t="s">
        <v>119</v>
      </c>
      <c r="B247" s="4" t="s">
        <v>120</v>
      </c>
      <c r="C247" s="4"/>
      <c r="D247" s="17"/>
      <c r="E247" s="4"/>
      <c r="F247" s="19"/>
      <c r="G247" s="19">
        <v>0</v>
      </c>
      <c r="I247" s="46"/>
    </row>
    <row r="248" spans="1:9" s="20" customFormat="1" ht="99.75" customHeight="1">
      <c r="A248" s="18" t="s">
        <v>106</v>
      </c>
      <c r="B248" s="4" t="s">
        <v>268</v>
      </c>
      <c r="C248" s="4"/>
      <c r="D248" s="17"/>
      <c r="E248" s="4" t="s">
        <v>332</v>
      </c>
      <c r="F248" s="19">
        <v>0</v>
      </c>
      <c r="G248" s="19">
        <f>F248</f>
        <v>0</v>
      </c>
      <c r="I248" s="46"/>
    </row>
    <row r="249" spans="1:9" s="20" customFormat="1" ht="47.25">
      <c r="A249" s="203" t="s">
        <v>112</v>
      </c>
      <c r="B249" s="204" t="s">
        <v>127</v>
      </c>
      <c r="C249" s="4" t="s">
        <v>300</v>
      </c>
      <c r="D249" s="17">
        <v>0</v>
      </c>
      <c r="E249" s="4"/>
      <c r="F249" s="9"/>
      <c r="G249" s="19">
        <f aca="true" t="shared" si="14" ref="G249:G254">D249</f>
        <v>0</v>
      </c>
      <c r="I249" s="46"/>
    </row>
    <row r="250" spans="1:9" s="20" customFormat="1" ht="34.5" customHeight="1" hidden="1">
      <c r="A250" s="203"/>
      <c r="B250" s="204"/>
      <c r="C250" s="4"/>
      <c r="D250" s="17"/>
      <c r="E250" s="4"/>
      <c r="F250" s="9"/>
      <c r="G250" s="19">
        <f t="shared" si="14"/>
        <v>0</v>
      </c>
      <c r="I250" s="46"/>
    </row>
    <row r="251" spans="1:9" s="20" customFormat="1" ht="63">
      <c r="A251" s="203"/>
      <c r="B251" s="204"/>
      <c r="C251" s="4" t="s">
        <v>304</v>
      </c>
      <c r="D251" s="17">
        <v>0</v>
      </c>
      <c r="E251" s="4"/>
      <c r="F251" s="9"/>
      <c r="G251" s="19">
        <f t="shared" si="14"/>
        <v>0</v>
      </c>
      <c r="I251" s="46"/>
    </row>
    <row r="252" spans="1:9" s="20" customFormat="1" ht="47.25">
      <c r="A252" s="203"/>
      <c r="B252" s="204"/>
      <c r="C252" s="4" t="s">
        <v>309</v>
      </c>
      <c r="D252" s="17">
        <v>0</v>
      </c>
      <c r="E252" s="4"/>
      <c r="F252" s="9"/>
      <c r="G252" s="19">
        <f t="shared" si="14"/>
        <v>0</v>
      </c>
      <c r="I252" s="46"/>
    </row>
    <row r="253" spans="1:9" s="20" customFormat="1" ht="47.25">
      <c r="A253" s="203"/>
      <c r="B253" s="204"/>
      <c r="C253" s="4" t="s">
        <v>322</v>
      </c>
      <c r="D253" s="17">
        <v>0</v>
      </c>
      <c r="E253" s="4"/>
      <c r="F253" s="9"/>
      <c r="G253" s="19">
        <f t="shared" si="14"/>
        <v>0</v>
      </c>
      <c r="I253" s="46"/>
    </row>
    <row r="254" spans="1:9" s="20" customFormat="1" ht="63">
      <c r="A254" s="203"/>
      <c r="B254" s="204"/>
      <c r="C254" s="4" t="s">
        <v>325</v>
      </c>
      <c r="D254" s="17">
        <v>0</v>
      </c>
      <c r="E254" s="4"/>
      <c r="F254" s="9"/>
      <c r="G254" s="19">
        <f t="shared" si="14"/>
        <v>0</v>
      </c>
      <c r="I254" s="46"/>
    </row>
    <row r="255" spans="1:9" s="20" customFormat="1" ht="47.25">
      <c r="A255" s="22" t="s">
        <v>178</v>
      </c>
      <c r="B255" s="23" t="s">
        <v>79</v>
      </c>
      <c r="C255" s="4"/>
      <c r="D255" s="24">
        <f>D257+D260+D261+D262+D263+D265+D266</f>
        <v>0</v>
      </c>
      <c r="E255" s="23"/>
      <c r="F255" s="24">
        <f>F256+F257+F258+F259</f>
        <v>0</v>
      </c>
      <c r="G255" s="24">
        <f>D255+F255</f>
        <v>0</v>
      </c>
      <c r="H255" s="47"/>
      <c r="I255" s="46"/>
    </row>
    <row r="256" spans="1:9" s="20" customFormat="1" ht="52.5" customHeight="1">
      <c r="A256" s="18" t="s">
        <v>207</v>
      </c>
      <c r="B256" s="4" t="s">
        <v>208</v>
      </c>
      <c r="C256" s="4"/>
      <c r="D256" s="17"/>
      <c r="E256" s="4" t="s">
        <v>319</v>
      </c>
      <c r="F256" s="19">
        <v>0</v>
      </c>
      <c r="G256" s="19">
        <f>F256</f>
        <v>0</v>
      </c>
      <c r="I256" s="46"/>
    </row>
    <row r="257" spans="1:9" s="20" customFormat="1" ht="56.25" customHeight="1">
      <c r="A257" s="18" t="s">
        <v>129</v>
      </c>
      <c r="B257" s="4" t="s">
        <v>130</v>
      </c>
      <c r="C257" s="4" t="s">
        <v>322</v>
      </c>
      <c r="D257" s="17">
        <v>0</v>
      </c>
      <c r="E257" s="4" t="s">
        <v>322</v>
      </c>
      <c r="F257" s="19">
        <v>0</v>
      </c>
      <c r="G257" s="19">
        <f>D257+F257</f>
        <v>0</v>
      </c>
      <c r="I257" s="46"/>
    </row>
    <row r="258" spans="1:9" s="20" customFormat="1" ht="47.25">
      <c r="A258" s="18" t="s">
        <v>119</v>
      </c>
      <c r="B258" s="4" t="s">
        <v>120</v>
      </c>
      <c r="C258" s="4"/>
      <c r="D258" s="17"/>
      <c r="E258" s="4" t="s">
        <v>322</v>
      </c>
      <c r="F258" s="19">
        <v>0</v>
      </c>
      <c r="G258" s="19">
        <f>F258</f>
        <v>0</v>
      </c>
      <c r="I258" s="46"/>
    </row>
    <row r="259" spans="1:9" s="20" customFormat="1" ht="99.75" customHeight="1">
      <c r="A259" s="18" t="s">
        <v>106</v>
      </c>
      <c r="B259" s="4" t="s">
        <v>268</v>
      </c>
      <c r="C259" s="4"/>
      <c r="D259" s="17"/>
      <c r="E259" s="4" t="s">
        <v>332</v>
      </c>
      <c r="F259" s="19">
        <v>0</v>
      </c>
      <c r="G259" s="19">
        <f>F259</f>
        <v>0</v>
      </c>
      <c r="I259" s="46"/>
    </row>
    <row r="260" spans="1:9" s="20" customFormat="1" ht="47.25">
      <c r="A260" s="203" t="s">
        <v>112</v>
      </c>
      <c r="B260" s="204" t="s">
        <v>127</v>
      </c>
      <c r="C260" s="4" t="s">
        <v>300</v>
      </c>
      <c r="D260" s="17">
        <v>0</v>
      </c>
      <c r="E260" s="4"/>
      <c r="F260" s="9"/>
      <c r="G260" s="19">
        <f>D260</f>
        <v>0</v>
      </c>
      <c r="I260" s="46"/>
    </row>
    <row r="261" spans="1:9" s="20" customFormat="1" ht="47.25">
      <c r="A261" s="203"/>
      <c r="B261" s="204"/>
      <c r="C261" s="4" t="s">
        <v>322</v>
      </c>
      <c r="D261" s="17">
        <v>0</v>
      </c>
      <c r="E261" s="4"/>
      <c r="F261" s="9"/>
      <c r="G261" s="19">
        <f aca="true" t="shared" si="15" ref="G261:G266">D261</f>
        <v>0</v>
      </c>
      <c r="I261" s="46"/>
    </row>
    <row r="262" spans="1:9" s="20" customFormat="1" ht="63">
      <c r="A262" s="203"/>
      <c r="B262" s="204"/>
      <c r="C262" s="4" t="s">
        <v>304</v>
      </c>
      <c r="D262" s="17">
        <v>0</v>
      </c>
      <c r="E262" s="4"/>
      <c r="F262" s="9"/>
      <c r="G262" s="19">
        <f t="shared" si="15"/>
        <v>0</v>
      </c>
      <c r="I262" s="46"/>
    </row>
    <row r="263" spans="1:9" s="20" customFormat="1" ht="47.25">
      <c r="A263" s="203"/>
      <c r="B263" s="204"/>
      <c r="C263" s="4" t="s">
        <v>309</v>
      </c>
      <c r="D263" s="17">
        <v>0</v>
      </c>
      <c r="E263" s="4"/>
      <c r="F263" s="9"/>
      <c r="G263" s="19">
        <f t="shared" si="15"/>
        <v>0</v>
      </c>
      <c r="I263" s="46"/>
    </row>
    <row r="264" spans="1:9" s="20" customFormat="1" ht="21.75" customHeight="1" hidden="1">
      <c r="A264" s="203"/>
      <c r="B264" s="204"/>
      <c r="C264" s="4"/>
      <c r="D264" s="5"/>
      <c r="E264" s="4"/>
      <c r="F264" s="9"/>
      <c r="G264" s="19">
        <f t="shared" si="15"/>
        <v>0</v>
      </c>
      <c r="I264" s="46"/>
    </row>
    <row r="265" spans="1:9" s="20" customFormat="1" ht="63">
      <c r="A265" s="203"/>
      <c r="B265" s="204"/>
      <c r="C265" s="4" t="s">
        <v>325</v>
      </c>
      <c r="D265" s="17">
        <v>0</v>
      </c>
      <c r="E265" s="4"/>
      <c r="F265" s="9"/>
      <c r="G265" s="19">
        <f t="shared" si="15"/>
        <v>0</v>
      </c>
      <c r="I265" s="46"/>
    </row>
    <row r="266" spans="1:9" s="20" customFormat="1" ht="66.75" customHeight="1">
      <c r="A266" s="203"/>
      <c r="B266" s="204"/>
      <c r="C266" s="4" t="s">
        <v>334</v>
      </c>
      <c r="D266" s="17">
        <v>0</v>
      </c>
      <c r="E266" s="4"/>
      <c r="F266" s="9"/>
      <c r="G266" s="19">
        <f t="shared" si="15"/>
        <v>0</v>
      </c>
      <c r="I266" s="46"/>
    </row>
    <row r="267" spans="1:9" s="20" customFormat="1" ht="47.25">
      <c r="A267" s="22" t="s">
        <v>179</v>
      </c>
      <c r="B267" s="23" t="s">
        <v>80</v>
      </c>
      <c r="C267" s="4"/>
      <c r="D267" s="24">
        <f>D269+D271+D272+D273+D274+D275+D276</f>
        <v>0</v>
      </c>
      <c r="E267" s="23"/>
      <c r="F267" s="24">
        <f>F268+F269+F270</f>
        <v>0</v>
      </c>
      <c r="G267" s="28">
        <f>D267+F267</f>
        <v>0</v>
      </c>
      <c r="H267" s="48"/>
      <c r="I267" s="46"/>
    </row>
    <row r="268" spans="1:9" s="20" customFormat="1" ht="47.25">
      <c r="A268" s="18" t="s">
        <v>207</v>
      </c>
      <c r="B268" s="4" t="s">
        <v>208</v>
      </c>
      <c r="C268" s="4"/>
      <c r="D268" s="17"/>
      <c r="E268" s="4" t="s">
        <v>319</v>
      </c>
      <c r="F268" s="19">
        <v>0</v>
      </c>
      <c r="G268" s="19">
        <f>F268</f>
        <v>0</v>
      </c>
      <c r="H268" s="33"/>
      <c r="I268" s="46"/>
    </row>
    <row r="269" spans="1:9" s="20" customFormat="1" ht="66" customHeight="1">
      <c r="A269" s="18" t="s">
        <v>129</v>
      </c>
      <c r="B269" s="4" t="s">
        <v>130</v>
      </c>
      <c r="C269" s="4" t="s">
        <v>322</v>
      </c>
      <c r="D269" s="17">
        <v>0</v>
      </c>
      <c r="E269" s="4" t="s">
        <v>322</v>
      </c>
      <c r="F269" s="19">
        <v>0</v>
      </c>
      <c r="G269" s="19">
        <f>D269+F269</f>
        <v>0</v>
      </c>
      <c r="I269" s="46"/>
    </row>
    <row r="270" spans="1:9" s="20" customFormat="1" ht="55.5" customHeight="1">
      <c r="A270" s="18" t="s">
        <v>119</v>
      </c>
      <c r="B270" s="4" t="s">
        <v>120</v>
      </c>
      <c r="C270" s="4"/>
      <c r="D270" s="17"/>
      <c r="E270" s="4" t="s">
        <v>322</v>
      </c>
      <c r="F270" s="19">
        <v>0</v>
      </c>
      <c r="G270" s="19">
        <f>F270</f>
        <v>0</v>
      </c>
      <c r="I270" s="46"/>
    </row>
    <row r="271" spans="1:9" s="20" customFormat="1" ht="47.25">
      <c r="A271" s="203" t="s">
        <v>112</v>
      </c>
      <c r="B271" s="204" t="s">
        <v>127</v>
      </c>
      <c r="C271" s="4" t="s">
        <v>300</v>
      </c>
      <c r="D271" s="17">
        <v>0</v>
      </c>
      <c r="E271" s="4"/>
      <c r="F271" s="9"/>
      <c r="G271" s="19">
        <f aca="true" t="shared" si="16" ref="G271:G276">D271</f>
        <v>0</v>
      </c>
      <c r="I271" s="46"/>
    </row>
    <row r="272" spans="1:9" s="20" customFormat="1" ht="47.25">
      <c r="A272" s="203"/>
      <c r="B272" s="204"/>
      <c r="C272" s="4" t="s">
        <v>322</v>
      </c>
      <c r="D272" s="17">
        <v>0</v>
      </c>
      <c r="E272" s="4"/>
      <c r="F272" s="9"/>
      <c r="G272" s="19">
        <f t="shared" si="16"/>
        <v>0</v>
      </c>
      <c r="I272" s="46"/>
    </row>
    <row r="273" spans="1:9" s="20" customFormat="1" ht="63">
      <c r="A273" s="203"/>
      <c r="B273" s="204"/>
      <c r="C273" s="4" t="s">
        <v>304</v>
      </c>
      <c r="D273" s="17">
        <v>0</v>
      </c>
      <c r="E273" s="4"/>
      <c r="F273" s="9"/>
      <c r="G273" s="19">
        <f t="shared" si="16"/>
        <v>0</v>
      </c>
      <c r="I273" s="46"/>
    </row>
    <row r="274" spans="1:9" s="20" customFormat="1" ht="47.25">
      <c r="A274" s="203"/>
      <c r="B274" s="204"/>
      <c r="C274" s="4" t="s">
        <v>309</v>
      </c>
      <c r="D274" s="17">
        <v>0</v>
      </c>
      <c r="E274" s="4"/>
      <c r="F274" s="9"/>
      <c r="G274" s="19">
        <f t="shared" si="16"/>
        <v>0</v>
      </c>
      <c r="I274" s="46"/>
    </row>
    <row r="275" spans="1:9" s="20" customFormat="1" ht="63">
      <c r="A275" s="203"/>
      <c r="B275" s="204"/>
      <c r="C275" s="4" t="s">
        <v>325</v>
      </c>
      <c r="D275" s="17">
        <v>0</v>
      </c>
      <c r="E275" s="4"/>
      <c r="F275" s="9"/>
      <c r="G275" s="19">
        <f t="shared" si="16"/>
        <v>0</v>
      </c>
      <c r="I275" s="46"/>
    </row>
    <row r="276" spans="1:9" s="20" customFormat="1" ht="63.75" customHeight="1">
      <c r="A276" s="203"/>
      <c r="B276" s="204"/>
      <c r="C276" s="4" t="s">
        <v>334</v>
      </c>
      <c r="D276" s="17">
        <v>0</v>
      </c>
      <c r="E276" s="4"/>
      <c r="F276" s="9"/>
      <c r="G276" s="19">
        <f t="shared" si="16"/>
        <v>0</v>
      </c>
      <c r="I276" s="46"/>
    </row>
    <row r="277" spans="1:9" s="33" customFormat="1" ht="47.25">
      <c r="A277" s="22" t="s">
        <v>180</v>
      </c>
      <c r="B277" s="23" t="s">
        <v>81</v>
      </c>
      <c r="C277" s="23"/>
      <c r="D277" s="24">
        <f>D279+D281+D283+D285+D287+D288+D289+D290+D291+D292</f>
        <v>0</v>
      </c>
      <c r="E277" s="23"/>
      <c r="F277" s="24">
        <f>F280+F284</f>
        <v>0</v>
      </c>
      <c r="G277" s="24">
        <f>D277+F277</f>
        <v>0</v>
      </c>
      <c r="H277" s="48"/>
      <c r="I277" s="46"/>
    </row>
    <row r="278" spans="1:9" s="33" customFormat="1" ht="55.5" customHeight="1" hidden="1">
      <c r="A278" s="18" t="s">
        <v>207</v>
      </c>
      <c r="B278" s="4" t="s">
        <v>208</v>
      </c>
      <c r="C278" s="4" t="s">
        <v>214</v>
      </c>
      <c r="D278" s="17"/>
      <c r="E278" s="4" t="s">
        <v>214</v>
      </c>
      <c r="F278" s="19"/>
      <c r="G278" s="19">
        <v>0</v>
      </c>
      <c r="I278" s="46"/>
    </row>
    <row r="279" spans="1:9" s="33" customFormat="1" ht="69" customHeight="1">
      <c r="A279" s="205" t="s">
        <v>207</v>
      </c>
      <c r="B279" s="201" t="s">
        <v>208</v>
      </c>
      <c r="C279" s="4" t="s">
        <v>334</v>
      </c>
      <c r="D279" s="17">
        <v>0</v>
      </c>
      <c r="E279" s="4"/>
      <c r="F279" s="19"/>
      <c r="G279" s="19">
        <f>D279</f>
        <v>0</v>
      </c>
      <c r="I279" s="46"/>
    </row>
    <row r="280" spans="1:9" s="33" customFormat="1" ht="54.75" customHeight="1">
      <c r="A280" s="206"/>
      <c r="B280" s="202"/>
      <c r="C280" s="4"/>
      <c r="D280" s="17"/>
      <c r="E280" s="4" t="s">
        <v>319</v>
      </c>
      <c r="F280" s="19">
        <v>0</v>
      </c>
      <c r="G280" s="19">
        <f>F280</f>
        <v>0</v>
      </c>
      <c r="I280" s="46"/>
    </row>
    <row r="281" spans="1:9" s="20" customFormat="1" ht="49.5" customHeight="1">
      <c r="A281" s="203" t="s">
        <v>129</v>
      </c>
      <c r="B281" s="204" t="s">
        <v>130</v>
      </c>
      <c r="C281" s="4" t="s">
        <v>322</v>
      </c>
      <c r="D281" s="17">
        <v>0</v>
      </c>
      <c r="E281" s="4"/>
      <c r="F281" s="19"/>
      <c r="G281" s="19">
        <f>D281</f>
        <v>0</v>
      </c>
      <c r="I281" s="46"/>
    </row>
    <row r="282" spans="1:9" s="20" customFormat="1" ht="47.25" hidden="1">
      <c r="A282" s="203"/>
      <c r="B282" s="204"/>
      <c r="C282" s="4"/>
      <c r="D282" s="17"/>
      <c r="E282" s="35" t="s">
        <v>311</v>
      </c>
      <c r="F282" s="39">
        <v>0</v>
      </c>
      <c r="G282" s="39">
        <v>0</v>
      </c>
      <c r="I282" s="46"/>
    </row>
    <row r="283" spans="1:9" s="20" customFormat="1" ht="47.25">
      <c r="A283" s="18" t="s">
        <v>284</v>
      </c>
      <c r="B283" s="4" t="s">
        <v>127</v>
      </c>
      <c r="C283" s="4" t="s">
        <v>306</v>
      </c>
      <c r="D283" s="17">
        <v>0</v>
      </c>
      <c r="E283" s="4"/>
      <c r="F283" s="19"/>
      <c r="G283" s="19">
        <f>D283</f>
        <v>0</v>
      </c>
      <c r="I283" s="46"/>
    </row>
    <row r="284" spans="1:9" s="20" customFormat="1" ht="93.75" customHeight="1">
      <c r="A284" s="18" t="s">
        <v>106</v>
      </c>
      <c r="B284" s="4" t="s">
        <v>268</v>
      </c>
      <c r="C284" s="4"/>
      <c r="D284" s="17"/>
      <c r="E284" s="4" t="s">
        <v>332</v>
      </c>
      <c r="F284" s="19">
        <v>0</v>
      </c>
      <c r="G284" s="19">
        <f>F284</f>
        <v>0</v>
      </c>
      <c r="I284" s="46"/>
    </row>
    <row r="285" spans="1:9" s="20" customFormat="1" ht="47.25">
      <c r="A285" s="203" t="s">
        <v>112</v>
      </c>
      <c r="B285" s="204" t="s">
        <v>127</v>
      </c>
      <c r="C285" s="4" t="s">
        <v>300</v>
      </c>
      <c r="D285" s="17">
        <v>0</v>
      </c>
      <c r="E285" s="4"/>
      <c r="F285" s="9"/>
      <c r="G285" s="19">
        <f>D285</f>
        <v>0</v>
      </c>
      <c r="I285" s="46"/>
    </row>
    <row r="286" spans="1:9" s="20" customFormat="1" ht="21" customHeight="1" hidden="1">
      <c r="A286" s="203"/>
      <c r="B286" s="204"/>
      <c r="C286" s="4"/>
      <c r="D286" s="17"/>
      <c r="E286" s="4"/>
      <c r="F286" s="9"/>
      <c r="G286" s="19">
        <f aca="true" t="shared" si="17" ref="G286:G292">D286</f>
        <v>0</v>
      </c>
      <c r="I286" s="46"/>
    </row>
    <row r="287" spans="1:9" s="20" customFormat="1" ht="63">
      <c r="A287" s="203"/>
      <c r="B287" s="204"/>
      <c r="C287" s="4" t="s">
        <v>305</v>
      </c>
      <c r="D287" s="17">
        <v>0</v>
      </c>
      <c r="E287" s="4"/>
      <c r="F287" s="9"/>
      <c r="G287" s="19">
        <f t="shared" si="17"/>
        <v>0</v>
      </c>
      <c r="I287" s="46"/>
    </row>
    <row r="288" spans="1:9" s="20" customFormat="1" ht="63">
      <c r="A288" s="203"/>
      <c r="B288" s="204"/>
      <c r="C288" s="4" t="s">
        <v>304</v>
      </c>
      <c r="D288" s="17">
        <v>0</v>
      </c>
      <c r="E288" s="4"/>
      <c r="F288" s="9"/>
      <c r="G288" s="19">
        <f t="shared" si="17"/>
        <v>0</v>
      </c>
      <c r="I288" s="46"/>
    </row>
    <row r="289" spans="1:9" s="20" customFormat="1" ht="47.25">
      <c r="A289" s="203"/>
      <c r="B289" s="204"/>
      <c r="C289" s="4" t="s">
        <v>309</v>
      </c>
      <c r="D289" s="17">
        <v>0</v>
      </c>
      <c r="E289" s="4"/>
      <c r="F289" s="9"/>
      <c r="G289" s="19">
        <f t="shared" si="17"/>
        <v>0</v>
      </c>
      <c r="I289" s="46"/>
    </row>
    <row r="290" spans="1:9" s="20" customFormat="1" ht="63">
      <c r="A290" s="203"/>
      <c r="B290" s="204"/>
      <c r="C290" s="4" t="s">
        <v>325</v>
      </c>
      <c r="D290" s="17">
        <v>0</v>
      </c>
      <c r="E290" s="4"/>
      <c r="F290" s="9"/>
      <c r="G290" s="19">
        <f t="shared" si="17"/>
        <v>0</v>
      </c>
      <c r="I290" s="46"/>
    </row>
    <row r="291" spans="1:9" s="20" customFormat="1" ht="47.25">
      <c r="A291" s="203"/>
      <c r="B291" s="204"/>
      <c r="C291" s="4" t="s">
        <v>322</v>
      </c>
      <c r="D291" s="17">
        <v>0</v>
      </c>
      <c r="E291" s="4"/>
      <c r="F291" s="9"/>
      <c r="G291" s="19">
        <f t="shared" si="17"/>
        <v>0</v>
      </c>
      <c r="I291" s="46"/>
    </row>
    <row r="292" spans="1:9" s="20" customFormat="1" ht="65.25" customHeight="1">
      <c r="A292" s="203"/>
      <c r="B292" s="204"/>
      <c r="C292" s="4" t="s">
        <v>334</v>
      </c>
      <c r="D292" s="17">
        <v>0</v>
      </c>
      <c r="E292" s="4"/>
      <c r="F292" s="9"/>
      <c r="G292" s="19">
        <f t="shared" si="17"/>
        <v>0</v>
      </c>
      <c r="I292" s="46"/>
    </row>
    <row r="293" spans="1:9" s="33" customFormat="1" ht="47.25">
      <c r="A293" s="22" t="s">
        <v>181</v>
      </c>
      <c r="B293" s="23" t="s">
        <v>82</v>
      </c>
      <c r="C293" s="23"/>
      <c r="D293" s="24">
        <f>D296+D298+D300+D301+D302+D303+D304</f>
        <v>0</v>
      </c>
      <c r="E293" s="23"/>
      <c r="F293" s="24">
        <f>F294+F295+F296+F297</f>
        <v>0</v>
      </c>
      <c r="G293" s="28">
        <f>D293+F293</f>
        <v>0</v>
      </c>
      <c r="H293" s="48"/>
      <c r="I293" s="46"/>
    </row>
    <row r="294" spans="1:9" s="33" customFormat="1" ht="49.5" customHeight="1">
      <c r="A294" s="18" t="s">
        <v>207</v>
      </c>
      <c r="B294" s="4" t="s">
        <v>208</v>
      </c>
      <c r="C294" s="4"/>
      <c r="D294" s="17"/>
      <c r="E294" s="4" t="s">
        <v>319</v>
      </c>
      <c r="F294" s="19">
        <v>0</v>
      </c>
      <c r="G294" s="19">
        <f>F294</f>
        <v>0</v>
      </c>
      <c r="I294" s="46"/>
    </row>
    <row r="295" spans="1:9" s="33" customFormat="1" ht="49.5" customHeight="1">
      <c r="A295" s="18" t="s">
        <v>119</v>
      </c>
      <c r="B295" s="4" t="s">
        <v>120</v>
      </c>
      <c r="C295" s="4"/>
      <c r="D295" s="17"/>
      <c r="E295" s="4" t="s">
        <v>322</v>
      </c>
      <c r="F295" s="19">
        <v>0</v>
      </c>
      <c r="G295" s="19">
        <f>F295</f>
        <v>0</v>
      </c>
      <c r="I295" s="46"/>
    </row>
    <row r="296" spans="1:9" s="20" customFormat="1" ht="48" customHeight="1">
      <c r="A296" s="18" t="s">
        <v>129</v>
      </c>
      <c r="B296" s="4" t="s">
        <v>130</v>
      </c>
      <c r="C296" s="4" t="s">
        <v>322</v>
      </c>
      <c r="D296" s="17">
        <v>0</v>
      </c>
      <c r="E296" s="4" t="s">
        <v>322</v>
      </c>
      <c r="F296" s="19">
        <v>0</v>
      </c>
      <c r="G296" s="19">
        <f>D296+F296</f>
        <v>0</v>
      </c>
      <c r="I296" s="46"/>
    </row>
    <row r="297" spans="1:9" s="20" customFormat="1" ht="100.5" customHeight="1">
      <c r="A297" s="18" t="s">
        <v>106</v>
      </c>
      <c r="B297" s="4" t="s">
        <v>268</v>
      </c>
      <c r="C297" s="4"/>
      <c r="D297" s="17"/>
      <c r="E297" s="4" t="s">
        <v>332</v>
      </c>
      <c r="F297" s="19">
        <v>0</v>
      </c>
      <c r="G297" s="19">
        <f>F297</f>
        <v>0</v>
      </c>
      <c r="I297" s="46"/>
    </row>
    <row r="298" spans="1:9" s="20" customFormat="1" ht="47.25">
      <c r="A298" s="203" t="s">
        <v>112</v>
      </c>
      <c r="B298" s="204" t="s">
        <v>127</v>
      </c>
      <c r="C298" s="4" t="s">
        <v>300</v>
      </c>
      <c r="D298" s="17">
        <v>0</v>
      </c>
      <c r="E298" s="4"/>
      <c r="F298" s="9"/>
      <c r="G298" s="19">
        <f aca="true" t="shared" si="18" ref="G298:G304">D298</f>
        <v>0</v>
      </c>
      <c r="I298" s="46"/>
    </row>
    <row r="299" spans="1:9" s="20" customFormat="1" ht="30.75" customHeight="1" hidden="1">
      <c r="A299" s="203"/>
      <c r="B299" s="204"/>
      <c r="C299" s="4"/>
      <c r="D299" s="17"/>
      <c r="E299" s="4"/>
      <c r="F299" s="9"/>
      <c r="G299" s="19">
        <f t="shared" si="18"/>
        <v>0</v>
      </c>
      <c r="I299" s="46"/>
    </row>
    <row r="300" spans="1:9" s="20" customFormat="1" ht="63">
      <c r="A300" s="203"/>
      <c r="B300" s="204"/>
      <c r="C300" s="4" t="s">
        <v>304</v>
      </c>
      <c r="D300" s="17">
        <v>0</v>
      </c>
      <c r="E300" s="4"/>
      <c r="F300" s="9"/>
      <c r="G300" s="19">
        <f t="shared" si="18"/>
        <v>0</v>
      </c>
      <c r="I300" s="46"/>
    </row>
    <row r="301" spans="1:9" s="20" customFormat="1" ht="47.25">
      <c r="A301" s="203"/>
      <c r="B301" s="204"/>
      <c r="C301" s="4" t="s">
        <v>309</v>
      </c>
      <c r="D301" s="17">
        <v>0</v>
      </c>
      <c r="E301" s="4"/>
      <c r="F301" s="9"/>
      <c r="G301" s="19">
        <f t="shared" si="18"/>
        <v>0</v>
      </c>
      <c r="I301" s="46"/>
    </row>
    <row r="302" spans="1:9" s="20" customFormat="1" ht="63">
      <c r="A302" s="203"/>
      <c r="B302" s="204"/>
      <c r="C302" s="4" t="s">
        <v>325</v>
      </c>
      <c r="D302" s="17">
        <v>0</v>
      </c>
      <c r="E302" s="4"/>
      <c r="F302" s="9"/>
      <c r="G302" s="19">
        <f t="shared" si="18"/>
        <v>0</v>
      </c>
      <c r="I302" s="46"/>
    </row>
    <row r="303" spans="1:9" s="20" customFormat="1" ht="47.25">
      <c r="A303" s="203"/>
      <c r="B303" s="204"/>
      <c r="C303" s="4" t="s">
        <v>322</v>
      </c>
      <c r="D303" s="17">
        <v>0</v>
      </c>
      <c r="E303" s="4"/>
      <c r="F303" s="9"/>
      <c r="G303" s="19">
        <f t="shared" si="18"/>
        <v>0</v>
      </c>
      <c r="I303" s="46"/>
    </row>
    <row r="304" spans="1:9" s="20" customFormat="1" ht="69" customHeight="1">
      <c r="A304" s="203"/>
      <c r="B304" s="204"/>
      <c r="C304" s="4" t="s">
        <v>334</v>
      </c>
      <c r="D304" s="17">
        <v>0</v>
      </c>
      <c r="E304" s="4"/>
      <c r="F304" s="9"/>
      <c r="G304" s="19">
        <f t="shared" si="18"/>
        <v>0</v>
      </c>
      <c r="I304" s="46"/>
    </row>
    <row r="305" spans="1:9" s="20" customFormat="1" ht="46.5" customHeight="1">
      <c r="A305" s="22" t="s">
        <v>182</v>
      </c>
      <c r="B305" s="23" t="s">
        <v>83</v>
      </c>
      <c r="C305" s="4"/>
      <c r="D305" s="24">
        <f>D306+D308+D309+D311+D312+D314+D315+D316</f>
        <v>0</v>
      </c>
      <c r="E305" s="4"/>
      <c r="F305" s="24">
        <f>F307</f>
        <v>0</v>
      </c>
      <c r="G305" s="24">
        <f>D305+F305</f>
        <v>0</v>
      </c>
      <c r="H305" s="47"/>
      <c r="I305" s="46"/>
    </row>
    <row r="306" spans="1:9" s="20" customFormat="1" ht="67.5" customHeight="1">
      <c r="A306" s="203" t="s">
        <v>207</v>
      </c>
      <c r="B306" s="204" t="s">
        <v>208</v>
      </c>
      <c r="C306" s="4" t="s">
        <v>334</v>
      </c>
      <c r="D306" s="17">
        <v>0</v>
      </c>
      <c r="E306" s="4"/>
      <c r="F306" s="24"/>
      <c r="G306" s="19">
        <f>D306</f>
        <v>0</v>
      </c>
      <c r="H306" s="47"/>
      <c r="I306" s="46"/>
    </row>
    <row r="307" spans="1:9" s="20" customFormat="1" ht="64.5" customHeight="1">
      <c r="A307" s="203"/>
      <c r="B307" s="204"/>
      <c r="C307" s="4"/>
      <c r="D307" s="17"/>
      <c r="E307" s="4" t="s">
        <v>319</v>
      </c>
      <c r="F307" s="19">
        <v>0</v>
      </c>
      <c r="G307" s="19">
        <f>F307</f>
        <v>0</v>
      </c>
      <c r="I307" s="46"/>
    </row>
    <row r="308" spans="1:9" s="20" customFormat="1" ht="45.75" customHeight="1">
      <c r="A308" s="18" t="s">
        <v>129</v>
      </c>
      <c r="B308" s="4" t="s">
        <v>130</v>
      </c>
      <c r="C308" s="4" t="s">
        <v>322</v>
      </c>
      <c r="D308" s="17">
        <v>0</v>
      </c>
      <c r="E308" s="4"/>
      <c r="F308" s="19"/>
      <c r="G308" s="19">
        <f>D308</f>
        <v>0</v>
      </c>
      <c r="I308" s="46"/>
    </row>
    <row r="309" spans="1:9" s="20" customFormat="1" ht="47.25">
      <c r="A309" s="203" t="s">
        <v>112</v>
      </c>
      <c r="B309" s="204" t="s">
        <v>127</v>
      </c>
      <c r="C309" s="4" t="s">
        <v>300</v>
      </c>
      <c r="D309" s="17">
        <v>0</v>
      </c>
      <c r="E309" s="4"/>
      <c r="F309" s="9"/>
      <c r="G309" s="19">
        <f aca="true" t="shared" si="19" ref="G309:G316">D309</f>
        <v>0</v>
      </c>
      <c r="I309" s="46"/>
    </row>
    <row r="310" spans="1:9" s="20" customFormat="1" ht="15.75" customHeight="1" hidden="1">
      <c r="A310" s="203"/>
      <c r="B310" s="204"/>
      <c r="C310" s="4"/>
      <c r="D310" s="17"/>
      <c r="E310" s="4"/>
      <c r="F310" s="19">
        <v>0</v>
      </c>
      <c r="G310" s="19">
        <f t="shared" si="19"/>
        <v>0</v>
      </c>
      <c r="I310" s="46"/>
    </row>
    <row r="311" spans="1:9" s="20" customFormat="1" ht="63">
      <c r="A311" s="203"/>
      <c r="B311" s="204"/>
      <c r="C311" s="4" t="s">
        <v>304</v>
      </c>
      <c r="D311" s="17">
        <v>0</v>
      </c>
      <c r="E311" s="4"/>
      <c r="F311" s="9"/>
      <c r="G311" s="19">
        <f t="shared" si="19"/>
        <v>0</v>
      </c>
      <c r="I311" s="46"/>
    </row>
    <row r="312" spans="1:9" s="20" customFormat="1" ht="47.25">
      <c r="A312" s="203"/>
      <c r="B312" s="204"/>
      <c r="C312" s="4" t="s">
        <v>309</v>
      </c>
      <c r="D312" s="17">
        <v>0</v>
      </c>
      <c r="E312" s="4"/>
      <c r="F312" s="9"/>
      <c r="G312" s="19">
        <f t="shared" si="19"/>
        <v>0</v>
      </c>
      <c r="I312" s="46"/>
    </row>
    <row r="313" spans="1:9" s="20" customFormat="1" ht="24.75" customHeight="1" hidden="1">
      <c r="A313" s="203"/>
      <c r="B313" s="204"/>
      <c r="C313" s="4"/>
      <c r="D313" s="5"/>
      <c r="E313" s="4"/>
      <c r="F313" s="9"/>
      <c r="G313" s="19">
        <f t="shared" si="19"/>
        <v>0</v>
      </c>
      <c r="I313" s="46"/>
    </row>
    <row r="314" spans="1:9" s="20" customFormat="1" ht="63">
      <c r="A314" s="203"/>
      <c r="B314" s="204"/>
      <c r="C314" s="4" t="s">
        <v>325</v>
      </c>
      <c r="D314" s="17">
        <v>0</v>
      </c>
      <c r="E314" s="4"/>
      <c r="F314" s="9"/>
      <c r="G314" s="19">
        <f t="shared" si="19"/>
        <v>0</v>
      </c>
      <c r="I314" s="46"/>
    </row>
    <row r="315" spans="1:9" s="20" customFormat="1" ht="47.25">
      <c r="A315" s="203"/>
      <c r="B315" s="204"/>
      <c r="C315" s="4" t="s">
        <v>322</v>
      </c>
      <c r="D315" s="17">
        <v>0</v>
      </c>
      <c r="E315" s="4"/>
      <c r="F315" s="9"/>
      <c r="G315" s="19">
        <f t="shared" si="19"/>
        <v>0</v>
      </c>
      <c r="I315" s="46"/>
    </row>
    <row r="316" spans="1:9" s="20" customFormat="1" ht="68.25" customHeight="1">
      <c r="A316" s="203"/>
      <c r="B316" s="204"/>
      <c r="C316" s="4" t="s">
        <v>334</v>
      </c>
      <c r="D316" s="17">
        <v>0</v>
      </c>
      <c r="E316" s="4"/>
      <c r="F316" s="9"/>
      <c r="G316" s="19">
        <f t="shared" si="19"/>
        <v>0</v>
      </c>
      <c r="I316" s="46"/>
    </row>
    <row r="317" spans="1:11" s="34" customFormat="1" ht="15.75">
      <c r="A317" s="23"/>
      <c r="B317" s="23" t="s">
        <v>101</v>
      </c>
      <c r="C317" s="23"/>
      <c r="D317" s="28">
        <f>D11+D31+D70+D93+D121+D142+D147+D149+D177+D180+D187+D190+D195+D207+D212+D218+D224+D228+D243+D255+D267+D277+D293+D305</f>
        <v>0</v>
      </c>
      <c r="E317" s="27"/>
      <c r="F317" s="28">
        <f>F11+F31+F70+F93+F121+F142+F147+F149+F177+F180+F187+F190+F195+F207+F212+F218+F224+F228+F243+F255+F267+F277+F293+F305</f>
        <v>0</v>
      </c>
      <c r="G317" s="28">
        <f>D317+F317</f>
        <v>0</v>
      </c>
      <c r="I317" s="46"/>
      <c r="K317" s="45"/>
    </row>
    <row r="318" spans="1:8" ht="15" customHeight="1">
      <c r="A318" s="65"/>
      <c r="B318" s="65"/>
      <c r="C318" s="65"/>
      <c r="D318" s="65"/>
      <c r="E318" s="65"/>
      <c r="F318" s="65"/>
      <c r="G318" s="65"/>
      <c r="H318" s="63"/>
    </row>
    <row r="319" spans="1:6" s="11" customFormat="1" ht="35.25" customHeight="1">
      <c r="A319" s="200" t="s">
        <v>242</v>
      </c>
      <c r="B319" s="200"/>
      <c r="C319" s="66"/>
      <c r="D319" s="67"/>
      <c r="E319" s="54"/>
      <c r="F319" s="57" t="s">
        <v>243</v>
      </c>
    </row>
    <row r="320" spans="4:7" ht="18" customHeight="1">
      <c r="D320" s="10"/>
      <c r="F320" s="34"/>
      <c r="G320" s="45"/>
    </row>
    <row r="321" spans="4:7" ht="18" customHeight="1">
      <c r="D321" s="10"/>
      <c r="F321" s="34"/>
      <c r="G321" s="45"/>
    </row>
    <row r="322" ht="18" customHeight="1"/>
    <row r="323" spans="4:9" ht="18" customHeight="1">
      <c r="D323" s="10"/>
      <c r="F323" s="41"/>
      <c r="G323" s="42"/>
      <c r="H323" s="41"/>
      <c r="I323" s="10"/>
    </row>
    <row r="324" spans="4:6" ht="18" customHeight="1">
      <c r="D324" s="10"/>
      <c r="F324" s="10"/>
    </row>
    <row r="325" spans="4:6" ht="18" customHeight="1">
      <c r="D325" s="10"/>
      <c r="F325" s="10"/>
    </row>
    <row r="326" spans="4:6" ht="15.75">
      <c r="D326" s="10"/>
      <c r="F326" s="10"/>
    </row>
    <row r="327" spans="3:6" ht="15.75">
      <c r="C327" s="3"/>
      <c r="F327" s="10"/>
    </row>
    <row r="328" ht="15.75">
      <c r="F328" s="10"/>
    </row>
    <row r="329" ht="15.75">
      <c r="F329" s="10"/>
    </row>
    <row r="330" ht="15.75">
      <c r="F330" s="10"/>
    </row>
    <row r="331" ht="15.75">
      <c r="F331" s="10"/>
    </row>
    <row r="332" ht="15.75">
      <c r="F332" s="10"/>
    </row>
    <row r="333" ht="15.75">
      <c r="F333" s="10"/>
    </row>
    <row r="334" ht="15.75">
      <c r="F334" s="10"/>
    </row>
    <row r="335" ht="15.75">
      <c r="F335" s="10"/>
    </row>
    <row r="336" ht="15.75">
      <c r="F336" s="10"/>
    </row>
    <row r="337" ht="15.75">
      <c r="F337" s="10"/>
    </row>
    <row r="338" ht="15.75">
      <c r="F338" s="10"/>
    </row>
    <row r="339" ht="15.75">
      <c r="F339" s="10"/>
    </row>
    <row r="340" ht="15.75">
      <c r="F340" s="10"/>
    </row>
    <row r="341" spans="5:8" ht="15.75">
      <c r="E341" s="7"/>
      <c r="F341" s="10"/>
      <c r="H341" s="10"/>
    </row>
    <row r="343" spans="3:7" ht="15.75">
      <c r="C343" s="43"/>
      <c r="D343" s="44"/>
      <c r="E343" s="43"/>
      <c r="F343" s="44"/>
      <c r="G343" s="43"/>
    </row>
    <row r="344" spans="3:7" ht="15.75">
      <c r="C344" s="43"/>
      <c r="D344" s="44"/>
      <c r="E344" s="43"/>
      <c r="F344" s="44"/>
      <c r="G344" s="43"/>
    </row>
    <row r="345" spans="3:7" ht="15.75">
      <c r="C345" s="43"/>
      <c r="D345" s="43"/>
      <c r="E345" s="43"/>
      <c r="F345" s="43"/>
      <c r="G345" s="44"/>
    </row>
  </sheetData>
  <sheetProtection/>
  <mergeCells count="116">
    <mergeCell ref="A319:B319"/>
    <mergeCell ref="A281:A282"/>
    <mergeCell ref="B281:B282"/>
    <mergeCell ref="A285:A292"/>
    <mergeCell ref="B285:B292"/>
    <mergeCell ref="A298:A304"/>
    <mergeCell ref="A306:A307"/>
    <mergeCell ref="B306:B307"/>
    <mergeCell ref="A309:A316"/>
    <mergeCell ref="B309:B316"/>
    <mergeCell ref="A249:A254"/>
    <mergeCell ref="B249:B254"/>
    <mergeCell ref="B298:B304"/>
    <mergeCell ref="A260:A266"/>
    <mergeCell ref="B260:B266"/>
    <mergeCell ref="A271:A276"/>
    <mergeCell ref="B271:B276"/>
    <mergeCell ref="A279:A280"/>
    <mergeCell ref="B279:B280"/>
    <mergeCell ref="A245:A246"/>
    <mergeCell ref="B245:B246"/>
    <mergeCell ref="A205:A206"/>
    <mergeCell ref="B205:B206"/>
    <mergeCell ref="A210:A211"/>
    <mergeCell ref="B210:B211"/>
    <mergeCell ref="A230:A231"/>
    <mergeCell ref="B230:B231"/>
    <mergeCell ref="A235:A242"/>
    <mergeCell ref="B235:B242"/>
    <mergeCell ref="C221:C223"/>
    <mergeCell ref="A226:A227"/>
    <mergeCell ref="B226:B227"/>
    <mergeCell ref="A199:A200"/>
    <mergeCell ref="B199:B200"/>
    <mergeCell ref="A201:A203"/>
    <mergeCell ref="B201:B203"/>
    <mergeCell ref="C201:C203"/>
    <mergeCell ref="A159:A160"/>
    <mergeCell ref="B159:B160"/>
    <mergeCell ref="D202:D203"/>
    <mergeCell ref="A164:A166"/>
    <mergeCell ref="B164:B166"/>
    <mergeCell ref="A169:A170"/>
    <mergeCell ref="B169:B170"/>
    <mergeCell ref="A182:A184"/>
    <mergeCell ref="B182:B184"/>
    <mergeCell ref="A162:A163"/>
    <mergeCell ref="B162:B163"/>
    <mergeCell ref="A134:A138"/>
    <mergeCell ref="B134:B138"/>
    <mergeCell ref="A150:A151"/>
    <mergeCell ref="B150:B151"/>
    <mergeCell ref="A153:A154"/>
    <mergeCell ref="B153:B154"/>
    <mergeCell ref="A155:A157"/>
    <mergeCell ref="B155:B157"/>
    <mergeCell ref="B123:B124"/>
    <mergeCell ref="A125:A127"/>
    <mergeCell ref="B125:B127"/>
    <mergeCell ref="A128:A129"/>
    <mergeCell ref="B128:B129"/>
    <mergeCell ref="B101:B105"/>
    <mergeCell ref="A106:A107"/>
    <mergeCell ref="B106:B107"/>
    <mergeCell ref="A130:A132"/>
    <mergeCell ref="B130:B132"/>
    <mergeCell ref="A110:A111"/>
    <mergeCell ref="B110:B111"/>
    <mergeCell ref="B112:B114"/>
    <mergeCell ref="A113:A114"/>
    <mergeCell ref="A123:A124"/>
    <mergeCell ref="B80:B82"/>
    <mergeCell ref="A108:A109"/>
    <mergeCell ref="B108:B109"/>
    <mergeCell ref="A91:A92"/>
    <mergeCell ref="B91:B92"/>
    <mergeCell ref="A94:A96"/>
    <mergeCell ref="B94:B96"/>
    <mergeCell ref="A97:A98"/>
    <mergeCell ref="B97:B98"/>
    <mergeCell ref="A101:A105"/>
    <mergeCell ref="B58:B60"/>
    <mergeCell ref="A83:A85"/>
    <mergeCell ref="B83:B85"/>
    <mergeCell ref="A62:A63"/>
    <mergeCell ref="B62:B63"/>
    <mergeCell ref="A64:A66"/>
    <mergeCell ref="B64:B66"/>
    <mergeCell ref="A77:A79"/>
    <mergeCell ref="B77:B79"/>
    <mergeCell ref="A80:A82"/>
    <mergeCell ref="B12:B13"/>
    <mergeCell ref="A14:A15"/>
    <mergeCell ref="C68:C69"/>
    <mergeCell ref="A72:A76"/>
    <mergeCell ref="B72:B76"/>
    <mergeCell ref="A43:A45"/>
    <mergeCell ref="B43:B45"/>
    <mergeCell ref="A46:A50"/>
    <mergeCell ref="B46:B50"/>
    <mergeCell ref="A58:A60"/>
    <mergeCell ref="B14:B15"/>
    <mergeCell ref="A16:A19"/>
    <mergeCell ref="B16:B19"/>
    <mergeCell ref="A34:A36"/>
    <mergeCell ref="B34:B36"/>
    <mergeCell ref="A37:A42"/>
    <mergeCell ref="B37:B42"/>
    <mergeCell ref="C16:C19"/>
    <mergeCell ref="A5:G5"/>
    <mergeCell ref="B8:B9"/>
    <mergeCell ref="C8:D8"/>
    <mergeCell ref="E8:F8"/>
    <mergeCell ref="A23:A30"/>
    <mergeCell ref="B23:B30"/>
    <mergeCell ref="A12:A13"/>
  </mergeCells>
  <printOptions/>
  <pageMargins left="0.3937007874015748" right="0.2362204724409449" top="0.41" bottom="0.3" header="0.2362204724409449" footer="0.2362204724409449"/>
  <pageSetup fitToHeight="16" horizontalDpi="600" verticalDpi="600" orientation="landscape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2014-12-10T07:01:20Z</cp:lastPrinted>
  <dcterms:created xsi:type="dcterms:W3CDTF">1996-10-08T23:32:33Z</dcterms:created>
  <dcterms:modified xsi:type="dcterms:W3CDTF">2014-12-30T09:17:30Z</dcterms:modified>
  <cp:category/>
  <cp:version/>
  <cp:contentType/>
  <cp:contentStatus/>
</cp:coreProperties>
</file>