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5480" windowHeight="8190" activeTab="0"/>
  </bookViews>
  <sheets>
    <sheet name="24.12.2012" sheetId="1" r:id="rId1"/>
  </sheets>
  <externalReferences>
    <externalReference r:id="rId4"/>
    <externalReference r:id="rId5"/>
    <externalReference r:id="rId6"/>
    <externalReference r:id="rId7"/>
  </externalReferences>
  <definedNames>
    <definedName name="_xlnm.Print_Titles" localSheetId="0">'24.12.2012'!$11:$11</definedName>
    <definedName name="_xlnm.Print_Area" localSheetId="0">'24.12.2012'!$A$1:$G$594</definedName>
  </definedNames>
  <calcPr fullCalcOnLoad="1"/>
</workbook>
</file>

<file path=xl/sharedStrings.xml><?xml version="1.0" encoding="utf-8"?>
<sst xmlns="http://schemas.openxmlformats.org/spreadsheetml/2006/main" count="899" uniqueCount="427">
  <si>
    <t>Реконструкція самопливного каналізаціного колектору по пр.Металургів від вул.Рекордної до вул.Лучєвої</t>
  </si>
  <si>
    <t>в тому числі</t>
  </si>
  <si>
    <t>вул. Н.Містечка, 19 гол. фасад.</t>
  </si>
  <si>
    <t>пр.Ювілейний,23А</t>
  </si>
  <si>
    <t>вул.Памірська,91</t>
  </si>
  <si>
    <t>бул. Центральний, 3</t>
  </si>
  <si>
    <t>вул.Ентузіастів,3</t>
  </si>
  <si>
    <t>в тому числі за адресами:</t>
  </si>
  <si>
    <t>Внески у статутні капітали комунальних підприємств міста  - погашення заборгованості за минулі роки</t>
  </si>
  <si>
    <t>вул. 40 років Радянської України, 49</t>
  </si>
  <si>
    <t xml:space="preserve">Комунальна установа «Запорізька міська багатопрофільна дитяча лікарня №5»  (відділення недоношених новонароджених)  - реконструкція  </t>
  </si>
  <si>
    <t xml:space="preserve">Реконструкція ділянки пішохідної алеї від вул. Правда до вул. Патріотична (проектні та будівельні роботи) </t>
  </si>
  <si>
    <t xml:space="preserve">Будівництво декоративних підпірних стін від вул. Правда до вул. Перемога (проектні та будівельні роботи) </t>
  </si>
  <si>
    <t>070202</t>
  </si>
  <si>
    <t>Вечірні (змінні) школи</t>
  </si>
  <si>
    <t xml:space="preserve">Реконструкція першого поверху житлового будинку по вул. Новокузнецька, 20-а під амбулаторію сімейного лікаря в мікрорайоні "Південний"  Комунарського району, м.Запоріжжя  </t>
  </si>
  <si>
    <t xml:space="preserve">Реконструкція прибудови до житлової будівлі під амбулаторію сімейного лікаря по вул. Дорошенко, 3 в Хортицькому районі, м.Запоріжжя </t>
  </si>
  <si>
    <t>Відділ охорони культурної спадщини Запорізької міської ради</t>
  </si>
  <si>
    <t>Будівництво майданчику для силової гімнастики з благоустроєм в районі будинку №15 по вул. Південноукраїнської в м.Запоріжжі</t>
  </si>
  <si>
    <t>Реконструкція мереж зовнішнього освітлення на внутрішньоквартальній території по вул. Малиновського ТП-118</t>
  </si>
  <si>
    <t>Реконструкція мереж зовнішнього освітлення по вул. Крилова</t>
  </si>
  <si>
    <t>Реконструкція мереж зовнішнього освітлення по вул. Сталеварів</t>
  </si>
  <si>
    <t xml:space="preserve">Реконструкція мереж зовнішнього освітлення о. Хортиця, вул. Наукового містечка </t>
  </si>
  <si>
    <t>Реконструкція мереж зовнішнього освітлення кварталу 65 (вул. Сталеварів – вул. Рекордна – вул. Лермонтова – вул. Сорок років Радянської України)</t>
  </si>
  <si>
    <t xml:space="preserve">Реконструкція мереж зовнішнього освітлення по вул. Гагаріна </t>
  </si>
  <si>
    <t>Реконструкція мереж зовнішнього освітлення на внутрішньоквартальній території по пр. Радянський (5 мікрорайон) ТП-612</t>
  </si>
  <si>
    <t>Будівництво зливової каналізації на проїжджій частині ділянки автодороги загального користування державного значення М-18 Харків-Сімферополь на 299 км у Комунарському районі м.Запоріжжя (проектні роботи та експертиза)</t>
  </si>
  <si>
    <t>Реконструкція контактної мережі тролейбусу на греблі "Дніпрогес" та дільниці від площі Леніна до естакади через шлюзи</t>
  </si>
  <si>
    <t xml:space="preserve">Реконструкція мереж зовнішнього освітлення по вул. Ентузіастів </t>
  </si>
  <si>
    <t>Реконструкція мереж зовнішнього освітлення на внутрішньоквартальній території по вул. Бородинська 2 етап ТП-885</t>
  </si>
  <si>
    <t xml:space="preserve">Реконструкція мереж зовнішнього освітлення по вул. Третьої п’ятирічки </t>
  </si>
  <si>
    <t>Реконструкція мереж зовнішнього освітлення по вул. Шишкіна</t>
  </si>
  <si>
    <t>130107</t>
  </si>
  <si>
    <t>Утримання та навчально-тренувальна робота дитячо-юнацьких спортивних шкіл</t>
  </si>
  <si>
    <t>Будівництво світлофорного об'єкту на перехресті вул.Чумаченка - вул.Олімпійська</t>
  </si>
  <si>
    <t>Реконструкція мереж зовнішнього освітлення по вул. Медвєдєва</t>
  </si>
  <si>
    <t>Реконструкція мереж зовнішнього освітлення по вул. Метрополітенівській</t>
  </si>
  <si>
    <t>Будівництво світлофорного об'єкту на перехресті вул.Північне шосе - дорога на Сталіпрокатний завод</t>
  </si>
  <si>
    <t>Будівництво капітальної будівлі громадського туалету на Центральному міському пляжі по Прибрежній магістралі в м.Запоріжжі (проектні та будівельні роботи)</t>
  </si>
  <si>
    <t>Реконструкція житлових будинків по пр.Леніна, 171, пр.Леніна,171а, пр.Леніна, 173 (проектні роботи та експертиза)</t>
  </si>
  <si>
    <t>Реконструкція розділювальної смуги на Прибрежній магістралі від вул.Української до вул.Глісерної з будівництвом світлофорних об'єктів в м.Запоріжжя (проектні та будівельні роботи)</t>
  </si>
  <si>
    <t>Реконструкція  центральної алеї парку "Дубовий гай" в м. Запоріжжя</t>
  </si>
  <si>
    <t>пр. Моторобудівників, 26</t>
  </si>
  <si>
    <t>вул.Свердлова, 39</t>
  </si>
  <si>
    <t>пр. Леніна, 96</t>
  </si>
  <si>
    <t>вул.Задніпровська, 36</t>
  </si>
  <si>
    <t>Реконструкція мереж зовнішнього освітлення по вул. Ризька</t>
  </si>
  <si>
    <t>Реконструкція мереж зовнішнього освітлення по вул. Станіславського</t>
  </si>
  <si>
    <t>48</t>
  </si>
  <si>
    <t>Департамент архітектури та містобудування Запорізької міської ради</t>
  </si>
  <si>
    <t>Концерн "Міські теплові мережі" (придбання техніки)</t>
  </si>
  <si>
    <t>Реконструкція мереж зовнішнього освітлення по вул. Істоміна</t>
  </si>
  <si>
    <t>Реконструкція мереж зовнішнього освітлення по вул. Силова</t>
  </si>
  <si>
    <t xml:space="preserve">Реконструкція мереж зовнішнього освітлення по вул. Дніпропетровське шосе </t>
  </si>
  <si>
    <t xml:space="preserve">Реконструкція мереж зовнішнього освітлення по вул. Славутича </t>
  </si>
  <si>
    <t xml:space="preserve">Реконструкція мереж зовнішнього освітлення по вул. Санаторна </t>
  </si>
  <si>
    <t>Реконструкція мереж зовнішнього освітлення по вул. Теплова</t>
  </si>
  <si>
    <t xml:space="preserve">Реконструкція мереж зовнішнього освітлення по вул. Деповська </t>
  </si>
  <si>
    <t>Термомодернізація будівлі комунальної установи "Центральна поліклініка Жовтневого району" по пр.Леніна, 88, м.Запоріжжя - реконструкція</t>
  </si>
  <si>
    <r>
      <t xml:space="preserve">      26.03.2014 №8</t>
    </r>
    <r>
      <rPr>
        <sz val="22"/>
        <color indexed="8"/>
        <rFont val="Times New Roman"/>
        <family val="1"/>
      </rPr>
      <t>_</t>
    </r>
  </si>
  <si>
    <t xml:space="preserve">Реконструкція мереж зовнішнього освітлення по вул. Автодорівська </t>
  </si>
  <si>
    <t>Реконструкція мереж зовнішнього освітлення по вул. Причальна</t>
  </si>
  <si>
    <t>Реконструкція мереж зовнішнього освітлення по вул. Армавірська</t>
  </si>
  <si>
    <t>Реконструкція мереж зовнішнього освітлення по вул. Кустанайська</t>
  </si>
  <si>
    <t>вул. Історична, 29</t>
  </si>
  <si>
    <t>вул.Глазунова,6</t>
  </si>
  <si>
    <t xml:space="preserve">Додаток 7                        </t>
  </si>
  <si>
    <t>до рішення  міської ради</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</si>
  <si>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</si>
  <si>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</si>
  <si>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 тощо</t>
  </si>
  <si>
    <t>Загальний обсяг фінансування будівництва</t>
  </si>
  <si>
    <t>Відсоток завершеності будівництва об'єктів на майбутні роки</t>
  </si>
  <si>
    <t>Всього видатків на завершення будівництва об'єктів на майбутні роки</t>
  </si>
  <si>
    <t>Разом видатків на поточний рік</t>
  </si>
  <si>
    <t>Код тимчасової класифікації та кредитування місцевих бюджетів</t>
  </si>
  <si>
    <t>Найменування коду тимчасової класифікації видатків та кредитування місцевих бюджетва</t>
  </si>
  <si>
    <t>03</t>
  </si>
  <si>
    <t>Виконавчий комітет міської ради</t>
  </si>
  <si>
    <t>010116</t>
  </si>
  <si>
    <t>Органи місцевого самоврядування</t>
  </si>
  <si>
    <t>капітальні видатки</t>
  </si>
  <si>
    <t>Капітальні вкладення</t>
  </si>
  <si>
    <t xml:space="preserve">Будівництво систем відеоспостереження у місцях масового перебування громадян </t>
  </si>
  <si>
    <t>в тому числі погашення заборгованості за минулі роки</t>
  </si>
  <si>
    <t>Будівництво малих архітектурних форм по пр.Леніна, 204 з влаштуванням підсвітлення в м.Запоріжжя</t>
  </si>
  <si>
    <t>Департамент освіти і науки, молоді та спорту Запорізької міської ради</t>
  </si>
  <si>
    <t>070101</t>
  </si>
  <si>
    <t>Дошкільні заклади освіти</t>
  </si>
  <si>
    <t>070201</t>
  </si>
  <si>
    <t>Загальноосвітні школи (в т.ч.школа-дитячий садок, інтернат при школі), спеціалізовані школи, ліцеї, гімназії, колегіуми</t>
  </si>
  <si>
    <t>070401</t>
  </si>
  <si>
    <t>Позашкільні заклади освіти, заходи із позашкільної роботи з дітьми</t>
  </si>
  <si>
    <t>091101</t>
  </si>
  <si>
    <t>Утримання центрів соціальних служб для сім'ї, дітей та молоді</t>
  </si>
  <si>
    <t>Будівля навчального комплексу "Запорізька Січ" о. Хортиця, м.Запоріжжя - реконструкція</t>
  </si>
  <si>
    <t xml:space="preserve">Реконструкція будівлі загальноосвітньої школи І-ІІІ ступенів № 75 по вул.Історична,92 Заводського району </t>
  </si>
  <si>
    <t xml:space="preserve">Реконструкція приміщень роздягальні та комп'ютерного класу навчально-виховного оздоровчого комплексу  № 110  по вул.Стешенка,19 Комунарського району (проектні та будівельні роботи) </t>
  </si>
  <si>
    <t xml:space="preserve">Будівництво житлового будинку № 25 в кварталі  по вул.Алмазній у сел. Павло-Кічкас м. Запоріжжя (проектні та будівельні роботи) </t>
  </si>
  <si>
    <t>Будівництво житлового будинку № 10 в мікрорайоні 5 житлового масиву "Південний", м. Запоріжжя (пілотний проект)</t>
  </si>
  <si>
    <t xml:space="preserve">Будівництво позаквартальних інженерних мереж та споруд по вул. Алмазній   (проектні та будівельні роботи) </t>
  </si>
  <si>
    <t xml:space="preserve">Реконструкція приміщень загальноосвітньої школи І-ІІІ ступенів  № 5 по вул. Тургенєва, 33 Жовтневого району (проектні та будівельні роботи)  </t>
  </si>
  <si>
    <t>080800</t>
  </si>
  <si>
    <t>Центри первинної медичної (медико-санітарної) допомоги</t>
  </si>
  <si>
    <t>Реконструкція будівлі по вул. 40 Років Радянської України, 41а</t>
  </si>
  <si>
    <t xml:space="preserve">Реконструкція дороги по вул. Нагнибіди в Комунарському районі (проектні роботи, експертиза) </t>
  </si>
  <si>
    <t>Реконструкція вул. Рекордної від вул. Портова до вул. Алюмінева (проектні роботи)</t>
  </si>
  <si>
    <t>Завершення будівництва по вул. Калнишевського, вул. Дорошенко, вул. Рубана (зовнішнє освітлення та дороги)</t>
  </si>
  <si>
    <t xml:space="preserve">Реконструкція скверу ім.60-річчя СРСР та прилеглої території в м.Запоріжжі (ескізний проект) </t>
  </si>
  <si>
    <t>070804</t>
  </si>
  <si>
    <t>Централізовані бухгалтерії обласних, міських, районних відділів освіти</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</si>
  <si>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</si>
  <si>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</si>
  <si>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Інші заходи по охороні здоров'я</t>
  </si>
  <si>
    <t>в тому числі 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</si>
  <si>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Реконструкція пішохідного переходу через балку Маркусова від вул.Історичної до вул.Сеченова в м.Запоріжжі (проектні та будівельні роботи)</t>
  </si>
  <si>
    <t>Будівництво дитячого будинку сімейного типу № 2 в сел.Тепличне в районі житлової забудови по вул.Центральній в м.Запоріжжі (проектні роботи, експертиза)</t>
  </si>
  <si>
    <t>Реконструкція дороги по вул. Південноукраїнська та вул. Панфіловців з влаштуванням гостьових автомобільних стоянок (проектні та будівельні роботи)</t>
  </si>
  <si>
    <t>Реконструкція мереж зовнішнього освітлення на внутрішньоквартальній території по вул. Задніпровська - вул.Гудименка</t>
  </si>
  <si>
    <t>Реконструкція будівлі Міського Палацу дитячої та юнацької творчості по пл.Леніна ,1</t>
  </si>
  <si>
    <t xml:space="preserve">Реконструкція мереж зовнішнього освітлення по бул.Шевченка (центральна алея від пр.Леніна до вул.Перемоги) </t>
  </si>
  <si>
    <t>Реконструкція автошляхопроводу  по вул. Карпенка-Карого (проектні та будівельні роботи)</t>
  </si>
  <si>
    <t>Заходи, пов'язані з поліпшенням питної води</t>
  </si>
  <si>
    <t>Комунальна установа «Міська клінічна лікарня екстреної та швидкої медичної допомоги м. Запоріжжя» -  реконструкція травматологічного відділення (проектні та будівельні роботи)</t>
  </si>
  <si>
    <t xml:space="preserve">Реконструкція пр. Леніна на ділянці від вул. Кірова до залізничній станції «Запоріжжя-1» (ділянка від вул. Кірова до вул. Космічної) </t>
  </si>
  <si>
    <t xml:space="preserve">Реконструкція дитячого містечка в районі вул. Південноукраїнська з установкою малих архітектурних форм (проектні та будівельні роботи) </t>
  </si>
  <si>
    <t xml:space="preserve">Реконструкція зовнішнього освітлення в районі вул. Правда-вул. Чубаря м.Запоріжжя (проектні та будівельні роботи) </t>
  </si>
  <si>
    <t>Комунальне підприємство "Запоріжміськсвітло" (придбання комп'ютерної техніки)</t>
  </si>
  <si>
    <t>Реконструкція мереж зовнішнього освітлення на внутрішньоквартальній території по вул.Малиновського ТП-153 в м.Запоріжжя</t>
  </si>
  <si>
    <t>Реконструкція мереж зовнішнього освітлення на внутрішньоквартальній території по вул.Малиновського ТП-158 в м.Запоріжжя</t>
  </si>
  <si>
    <t>Реконструкція мереж зовнішнього освітлення в сквері по вул.Космічній,22(біля Комунарського РВ ЗМУ) в м.Запоріжжя</t>
  </si>
  <si>
    <t>Реконструкція мереж зовнішнього освітлення по. вул.Трегубова в м.Запоріжжя</t>
  </si>
  <si>
    <t>Реконструкція мереж зовнішнього освітлення вздовж автодорожнього проїзду по спорудах греблі Дніпрогес</t>
  </si>
  <si>
    <t>Міське комунальне підприємство "Основаніє" (піскорозкидувачу - 5 од., відбійних молотків "Макіта" - 13 од., мотокоси "Husgvarna"   - 26 од., бензорізів абразивних "Мотор Січ МБА - 300" - 35 од., візків "Мотор Січ ТС - 1" - 40 од., мотоблоків "Мотор Січ МБ - 4,05" - 40 од., інструментів для роботи з трубами ПВХ - 11 од., наборів інструментів слюсаря-сантехніка - 18 од.)</t>
  </si>
  <si>
    <t>Ремонтні та реставраційні роботи по будівлі комунального закладу охорони здоровья "Студентська поліклініка" по пр.Леніна, 59 м.Запоріжжя(проектні роботи)</t>
  </si>
  <si>
    <t>Будівництво дитячого будинку сімейного типу в селищі Тепличне по вул.Центральній між будинками 7а та 7 в м.Запоріжжі (проектні роботи, експертиза, будівельні роботи)</t>
  </si>
  <si>
    <t>Реконструкція шляхопроводу через р. Мокра Московка на автошляху Харків-Сімферополь (проектні роботи)</t>
  </si>
  <si>
    <t>Будівництво зливної каналізації на ділянці автодороги загального користування державного значення М-18 Харків-Сімферополь у Шевченківському районі м.Запоріжжя(проект)</t>
  </si>
  <si>
    <t>Реконструкція тротуару по вул. Новокузнецькій (непарна сторона)(проект)</t>
  </si>
  <si>
    <t>Реконструкція площі ім.Леніна в м.Запоріжжі (проектно-вишукувальні роботи)</t>
  </si>
  <si>
    <t>Будівництво котельної по вул.Софіївській в м.Запоріжжя</t>
  </si>
  <si>
    <t>пр.40 річчя Перемоги,67</t>
  </si>
  <si>
    <t>вул. Кузнецова,34б</t>
  </si>
  <si>
    <t>вул.Перемоги, 131а</t>
  </si>
  <si>
    <t>вул.Рубана,13</t>
  </si>
  <si>
    <t>вул.Чернівецька, 6</t>
  </si>
  <si>
    <t>вул.Дегтярьова, 5а</t>
  </si>
  <si>
    <t>Реконструкція площі, прилеглої до Палацу Спорту "Юність"</t>
  </si>
  <si>
    <t>Реконструкція мереж зовнішнього освітлення по вул. Володарського</t>
  </si>
  <si>
    <t>Реконструкція мереж зовнішнього освітлення скверу кінотеатру "Южний" (сквер по вул. Калініна - вул. Культурна)</t>
  </si>
  <si>
    <t>Реконструкція мереж зовнішнього освітлення на внутрішньоквартальній території по пр. Радянський (5 мікрорайон) ТП-611</t>
  </si>
  <si>
    <t>Реконструкція мереж зовнішнього освітлення по вул. Логінова</t>
  </si>
  <si>
    <t>Реконструкція мереж зовнішнього освітлення по пров. Арбатський</t>
  </si>
  <si>
    <t>Реконструкція мереж зовнішнього освітлення по вул. Оборонна</t>
  </si>
  <si>
    <t>Запорізьке комунальне підприємство міського електротранспорту "Запоріжелектротранс" (реконструкція 2-х котелень, що обслуговують вагоноремонтні майстерні та тролейбусний парк №1)</t>
  </si>
  <si>
    <t>Реконструкція амбулаторії №6 Центру первинної медико-санітарної допомоги №2 по вул.Брюлова,6 в м.Запоріжжя(проектні роботи)</t>
  </si>
  <si>
    <t xml:space="preserve">Реконструкція Палацу спорту "Юність" в м. Запоріжжя"(проектні та будівельні роботи) </t>
  </si>
  <si>
    <t>Управління з питань екологічної безпеки Запорізької міської ради</t>
  </si>
  <si>
    <t>пр.Леніна, 143 - погашення заборгованості за минулі роки</t>
  </si>
  <si>
    <t>пр. Леніна, 192 - погашення заборгованості за минулі роки</t>
  </si>
  <si>
    <t>пр. Леніна, 148 - погашення заборгованості за минулі роки</t>
  </si>
  <si>
    <t>вул. Перемоги, 65 - погашення заборгованості за минулі роки</t>
  </si>
  <si>
    <t>вул.Перемоги, 87а - погашення заборгованості за минулі роки</t>
  </si>
  <si>
    <t>вул. Гагаріна, 8 - погашення заборгованості за минулі роки</t>
  </si>
  <si>
    <t>вул. Запорізька, 6 - погашення заборгованості за минулі роки</t>
  </si>
  <si>
    <t>вул. Бочарова, 8 - погашення заборгованості за минулі роки</t>
  </si>
  <si>
    <t>вул. Бочарова, 16-б - погашення заборгованості за минулі роки</t>
  </si>
  <si>
    <t>вул.Косигіна, 9 - погашення заборгованості за минулі роки</t>
  </si>
  <si>
    <t>вул.Авраменко, 7 - погашення заборгованості за минулі роки</t>
  </si>
  <si>
    <t>вул.Центральна, 5 - погашення заборгованості за минулі роки</t>
  </si>
  <si>
    <t>вул.Фільтрова, 25 - погашення заборгованості за минулі роки</t>
  </si>
  <si>
    <t>вул.Фундаментальна, 17- погашення заборгованості за минулі роки</t>
  </si>
  <si>
    <t>вул.Магнітна, 2- погашення заборгованості за минулі роки</t>
  </si>
  <si>
    <t>вул.Історична, 73- погашення заборгованості за минулі роки</t>
  </si>
  <si>
    <t>вул. Історична, 37а- погашення заборгованості за минулі роки</t>
  </si>
  <si>
    <t>вул.Республіканська, 51- погашення заборгованості за минулі роки</t>
  </si>
  <si>
    <t>вул.Гудименко,9- погашення заборгованості за минулі роки</t>
  </si>
  <si>
    <t>пр.Ювілейний,29- погашення заборгованості за минулі роки</t>
  </si>
  <si>
    <t>пр.Ювілейний, 24/1- погашення заборгованості за минулі роки</t>
  </si>
  <si>
    <t>вул.Задніпровська,21- погашення заборгованості за минулі роки</t>
  </si>
  <si>
    <t>вул.Задніпровська,27- погашення заборгованості за минулі роки</t>
  </si>
  <si>
    <t>вул.Зестафонська,10-б- погашення заборгованості за минулі роки</t>
  </si>
  <si>
    <t>вул.Дніпровські пороги,21- погашення заборгованості за минулі роки</t>
  </si>
  <si>
    <t>вул.Зернова,30а- погашення заборгованості за минулі роки</t>
  </si>
  <si>
    <t>вул.Кремлівська, 17- погашення заборгованості за минулі роки</t>
  </si>
  <si>
    <t>вул.Кремлівська,81- погашення заборгованості за минулі роки</t>
  </si>
  <si>
    <t xml:space="preserve">вул. Портова, буд. 2- погашення заборгованості за минулі роки                                                                                                                                          </t>
  </si>
  <si>
    <t>вул.Чарівна,95 - погашення заборгованості за минулі роки</t>
  </si>
  <si>
    <t>вул.Військбуд,84- погашення заборгованості за минулі роки</t>
  </si>
  <si>
    <t>вул. Кузнецова,34а- погашення заборгованості за минулі роки</t>
  </si>
  <si>
    <t>вул.Космічна,101- погашення заборгованості за минулі роки</t>
  </si>
  <si>
    <t>вул.Космічна,112 б- погашення заборгованості за минулі роки</t>
  </si>
  <si>
    <t>вул.Новокузнецька,36а- погашення заборгованості за минулі роки</t>
  </si>
  <si>
    <t>вул.Чумаченко,13- погашення заборгованості за минулі роки</t>
  </si>
  <si>
    <t>вул.Чумаченко,36а- погашення заборгованості за минулі роки</t>
  </si>
  <si>
    <t>вул.Автозаводська,4- погашення заборгованості за минулі роки</t>
  </si>
  <si>
    <t>пр.40 річчя Перемоги,63- погашення заборгованості за минулі роки</t>
  </si>
  <si>
    <t>вул.Олімпійська,10- погашення заборгованості за минулі роки</t>
  </si>
  <si>
    <t>вул.Антарктична,15а- погашення заборгованості за минулі роки</t>
  </si>
  <si>
    <t>вул.Садова,101- погашення заборгованості за минулі роки</t>
  </si>
  <si>
    <t>вул. Миру, 5- погашення заборгованості за минулі роки</t>
  </si>
  <si>
    <t>вул. Лермонтова, 6- погашення заборгованості за минулі роки</t>
  </si>
  <si>
    <t>вул. Грязнова, 2- погашення заборгованості за минулі роки</t>
  </si>
  <si>
    <t>вул.Грязнова, 90а- погашення заборгованості за минулі роки</t>
  </si>
  <si>
    <t>вул. Козача, 47- погашення заборгованості за минулі роки</t>
  </si>
  <si>
    <t>вул. Комунарівська, 64- погашення заборгованості за минулі роки</t>
  </si>
  <si>
    <t>вул.Молодіжна, 85- погашення заборгованості за минулі роки</t>
  </si>
  <si>
    <t>вул.Дніпропетровське шосе, 54- погашення заборгованості за минулі роки</t>
  </si>
  <si>
    <t>вул. Ладозька, 14- погашення заборгованості за минулі роки</t>
  </si>
  <si>
    <t>вул.Гребельна, 1- погашення заборгованості за минулі роки</t>
  </si>
  <si>
    <t>вул.14 Жовтня, 9- погашення заборгованості за минулі роки</t>
  </si>
  <si>
    <t>Реконструкція відділення мікрохірургії ока комунальної установи "Запорізька міська багатопрофільна клінічна лікарня №9 м.Запоріжжя"</t>
  </si>
  <si>
    <t>Попередження створення аварійної ситуацій на мостовому переході по вул. Заводській в Орджонікідзевському районі (станція ім.Анатолія Алімова), м.Запоріжжя - реконструкція (проектні та будівельні роботи)</t>
  </si>
  <si>
    <t>Реконструкція мереж зовнішнього освітлення по вул. Тополіна ТП-52 у м.Запоріжжя</t>
  </si>
  <si>
    <t>Телебачення і радіомовлення</t>
  </si>
  <si>
    <t>вул.Лахтинська, 7- погашення заборгованості за минулі роки</t>
  </si>
  <si>
    <t>пр.Моторобудівників, 3- погашення заборгованості за минулі роки</t>
  </si>
  <si>
    <t>вул.Уральська, 27- погашення заборгованості за минулі роки</t>
  </si>
  <si>
    <t>вул.Деповська, 85- погашення заборгованості за минулі роки</t>
  </si>
  <si>
    <t>вул.Ніжинська, 68-а- погашення заборгованості за минулі роки</t>
  </si>
  <si>
    <t>вул. Перемоги, 119-б- погашення заборгованості за минулі роки</t>
  </si>
  <si>
    <t>вул. Магістральна,  72а- погашення заборгованості за минулі роки</t>
  </si>
  <si>
    <t>вул. Магістральна, 92а- погашення заборгованості за минулі роки</t>
  </si>
  <si>
    <t>вул. Чарівна, 127- погашення заборгованості за минулі роки</t>
  </si>
  <si>
    <t>вул.Ніжинська,66- погашення заборгованості за минулі роки</t>
  </si>
  <si>
    <t>вул. Історична, 20 а- погашення заборгованості за минулі роки</t>
  </si>
  <si>
    <t>вул. М.Чуйкова,32 - погашення заборгованості за минулі роки</t>
  </si>
  <si>
    <t>вул. Дудикіна,9а - погашення заборгованості за минулі роки</t>
  </si>
  <si>
    <t>вул. Верхня, 10 - погашення заборгованості за минулі роки</t>
  </si>
  <si>
    <t>вул.Вороніхіна,8   - погашення заборгованості за минулі роки</t>
  </si>
  <si>
    <t>вул.Чумаченко,37 - погашення заборгованості за минулі роки</t>
  </si>
  <si>
    <t>вул.Рязанська,11 - погашення заборгованості за минулі роки</t>
  </si>
  <si>
    <t>вул.Дослідна станція,84 - погашення заборгованості за минулі роки</t>
  </si>
  <si>
    <t>пр.40 річчя Перемоги,57 - погашення заборгованості за минулі роки</t>
  </si>
  <si>
    <t>вул.Космічна,130 б - погашення заборгованості за минулі роки</t>
  </si>
  <si>
    <t>вул. Українська, 8 - погашення заборгованості за минулі роки</t>
  </si>
  <si>
    <t>вул. Горького, 55 - погашення заборгованості за минулі роки</t>
  </si>
  <si>
    <t>вул. Гоголя, 124 - погашення заборгованості за минулі роки</t>
  </si>
  <si>
    <t>вул. Грязнова, 1а - погашення заборгованості за минулі роки</t>
  </si>
  <si>
    <t>вул. Грязнова, 4 - погашення заборгованості за минулі роки</t>
  </si>
  <si>
    <t>вул. Зестафонівська, 1 - погашення заборгованості за минулі роки</t>
  </si>
  <si>
    <t>вул.Ладозька, 32 - погашення заборгованості за минулі роки</t>
  </si>
  <si>
    <t>вул. Руставі, 3а - погашення заборгованості за минулі роки</t>
  </si>
  <si>
    <t>бул. Гвардійський, 136 - погашення заборгованості за минулі роки</t>
  </si>
  <si>
    <t>вул. Запорізького козацтва, 3 - погашення заборгованості за минулі роки</t>
  </si>
  <si>
    <t>бул. Будівельників, 13 - погашення заборгованості за минулі роки</t>
  </si>
  <si>
    <t>бул. Будівельників, 19 - погашення заборгованості за минулі роки</t>
  </si>
  <si>
    <t>вул.Уральська, 27 - погашення заборгованості за минулі роки</t>
  </si>
  <si>
    <t>вул.Військбуд,84 - погашення заборгованості за минулі роки</t>
  </si>
  <si>
    <t>вул. Орджонікідзе, 22 - погашення заборгованості за минулі роки</t>
  </si>
  <si>
    <t xml:space="preserve">вул. Лермонтова, 14 - погашення заборгованості за минулі роки                                                                                                                                      </t>
  </si>
  <si>
    <t>вул.Історична,34 - погашення заборгованості за минулі роки</t>
  </si>
  <si>
    <t>070803</t>
  </si>
  <si>
    <t>Забезпечення технічного нагляду за будівництвом і капітальним ремонтом та іншими окремими господарськими функціями</t>
  </si>
  <si>
    <t>Комунальне підприємство "Запоріжміськсвітло" (придбання автомобілів)</t>
  </si>
  <si>
    <t>Розробка схем та проектних рішень масового застосування</t>
  </si>
  <si>
    <t>розроблення містобудівної документації</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</si>
  <si>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</si>
  <si>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</si>
  <si>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Реконструкція будівлі дошкільного навчального закладу № 285  по пр. 40-річчя Перемоги, 15а, Комунарського району (проектні та будівельні роботи)</t>
  </si>
  <si>
    <t xml:space="preserve">Реконструкція будівлі дошкільного навчального закладу № 220 по вул. Давидова, 11 Ленінського району м.Запоріжжя - реконструкція (проектні та будівельні роботи) </t>
  </si>
  <si>
    <t>Будівництво теплиці "Запорізького міського ботанічного саду" І черга (проектні роботи та будівництво)</t>
  </si>
  <si>
    <t>Реконструкція будівлі дошкільного навчального закладу №186 по вул.12 Квітня, 2а (проектні та будівельні роботи)</t>
  </si>
  <si>
    <t>Управління з питань охорони здоров"я  Запорізької  міської ради</t>
  </si>
  <si>
    <t>080101</t>
  </si>
  <si>
    <t>Лікарні</t>
  </si>
  <si>
    <t>080203</t>
  </si>
  <si>
    <t>Пологові будинки</t>
  </si>
  <si>
    <t>080300</t>
  </si>
  <si>
    <t>Поліклініки і амбулаторії (крім спеціалізованих поліклінік та загальних і спеціалізованих стоматологічних поліклінік)</t>
  </si>
  <si>
    <t>Комунальна установа «Запорізька міська багатопрофільна дитяча лікарня №5» діагностичне  інфекційно-боксоване відділення - реконструкція (проектні та будівельні роботи)</t>
  </si>
  <si>
    <t>Будівля поліклініки комунальної установи «Запорізька міська багатопрофільна клінічна лікарня №9», м.Запоріжжя - реконструкція (проектні та будівельні роботи)</t>
  </si>
  <si>
    <t>Управління соціального захисту населення Запорізької міської ради</t>
  </si>
  <si>
    <t>Реконструція вулично-шляхової мережі по вул.Квітучий в межах від вул.Братської до вул.Вінницької в Ленінському районі</t>
  </si>
  <si>
    <t xml:space="preserve">Ліквідація аварійного стану на ділянці дороги загального користування М-18 траса Харків-Сімферополь-Алушта-Ялта (в районі "М'ясокомбінату") (проектні роботи, експертиза, будівництво)   </t>
  </si>
  <si>
    <t>вул.Тенісна, 11</t>
  </si>
  <si>
    <t>Комунальне підприємство "Центр інформаційних технологій" (придбання системи відеоспостереження, відеокамер, світлових веж)</t>
  </si>
  <si>
    <t>091209</t>
  </si>
  <si>
    <t>Фінансова підтримка громадських організацій інвалідів і ветеранів</t>
  </si>
  <si>
    <t>100106</t>
  </si>
  <si>
    <t>Капітальний ремонт житлового фонду об'єднань співвласників багатоквартирних будинків</t>
  </si>
  <si>
    <t>091204</t>
  </si>
  <si>
    <t>Реконструкція мереж зовнішнього освітлення дитячого майданчика по вул.Дорошенка,6 у м.Запоріжжя (проектні роботи, експертиза)</t>
  </si>
  <si>
    <t>Попередження створення аварійної ситуацій в районі незавершеного будівництва житлового будинку по вул.Горького, 167 в м.Запоріжжі</t>
  </si>
  <si>
    <t>Територіальні центри соціального обслуговування (надання соціальних послуг)</t>
  </si>
  <si>
    <t>Реконструкція приміщень управління праці та соціального захисту населення  Хортицької районної адміністрації міської ради за адресою: вул. Лахтинська, 4-Б (проектні та будівельні роботи)</t>
  </si>
  <si>
    <t>Реконструкція будівлі по вул. Таганська, 8 під соціальний готель (проектні та будівельні роботи)</t>
  </si>
  <si>
    <t>Управління з питань правового забезпечення роботи галузей міського господарства Запорізької міської ради</t>
  </si>
  <si>
    <t>Управління культури і мистецтв Запорізької міської ради</t>
  </si>
  <si>
    <t>110102</t>
  </si>
  <si>
    <t>Театри</t>
  </si>
  <si>
    <t>110201</t>
  </si>
  <si>
    <t>Бібліотеки</t>
  </si>
  <si>
    <t>110204</t>
  </si>
  <si>
    <t>Палаци і будинки культури, клуби та інші заклади клубного типу</t>
  </si>
  <si>
    <t>110205</t>
  </si>
  <si>
    <t>Школи естетичного виховання дітей</t>
  </si>
  <si>
    <t>110502</t>
  </si>
  <si>
    <t xml:space="preserve">Інші культурно-освітні заклади та заходи </t>
  </si>
  <si>
    <t>32</t>
  </si>
  <si>
    <t>Управління розвитку підприємництва та дозвільних послуг Запорізької міської ради</t>
  </si>
  <si>
    <t>33</t>
  </si>
  <si>
    <t>Управління реєстрації та єдиного реєстру Запорізької міської ради</t>
  </si>
  <si>
    <t>Департамент житлово-комунального господарства Запорізької міської ради</t>
  </si>
  <si>
    <t>100102</t>
  </si>
  <si>
    <t>Капітальний ремонт житлового фонду місцевих органів ради</t>
  </si>
  <si>
    <t>Благоустрій міст, сіл, селищ</t>
  </si>
  <si>
    <t>250404</t>
  </si>
  <si>
    <t>Інші видатки</t>
  </si>
  <si>
    <t>Житловий будинок по пр. Леніна, 133  м. Запоріжжя - ліквідація  аварійного стану надбудови над аркою</t>
  </si>
  <si>
    <t>Реконструкція мереж зовнішнього освітлення по вул. Новгородська (гуртожиток по вул. Новгородська)</t>
  </si>
  <si>
    <t>Реконструкція мереж зовнішнього освітлення по вул. Новгородська (від вул. Жукова до шляхопроводу)</t>
  </si>
  <si>
    <t>Будівництво мереж зовнішнього освітлення І мосту ім. Преображенського (новий Дніпро) у м.Запоріжжі (проектні та будівельні роботи)</t>
  </si>
  <si>
    <t>Будівництво мереж зовнішнього освітлення ІІ мосту ім. Преображенского (старий Дніпро) у м.Запоріжжі (проектні та будівельні роботи)</t>
  </si>
  <si>
    <t>Будівництво дитячих майданчиків  (проектні та будівельні роботи)</t>
  </si>
  <si>
    <t xml:space="preserve">Будівництво спортивних майданчиків </t>
  </si>
  <si>
    <t>Житловий будинок № 149 по вул. Гоголя ІІ корпус - реконструкція нежитлового приміщення в житлове</t>
  </si>
  <si>
    <t>Житловий будинок по вул. Республіканській,185 - реконструкція  системи теплопостачання</t>
  </si>
  <si>
    <t>Винос водогону з під житлової забудови по вул.Первомайській (від вул.Кооперативної до вул.Української,92) (проектні та будівельні роботи)</t>
  </si>
  <si>
    <t>Ліквідація аварійного стану житлового будинку по вул. Гудименко,3 (проектно-вишукувальні роботи)</t>
  </si>
  <si>
    <t>Попередження створення аварійної ситуацій житлових будинків по вул. Нагнибіди, 11, 11а (проектні та будівельні роботи)</t>
  </si>
  <si>
    <t>Реконструкція інженерних мереж на перехресті пр.Леніна та пр.Металургів м.Запоріжжя (проектні та будівельні роботи)</t>
  </si>
  <si>
    <t>Реконстуркція автодороги Запоріжжя-Підпорожнянка в районі шлакових відвалів ВАТ "Запоріжсталь"</t>
  </si>
  <si>
    <t>Будівництво світлофорного об"єкту на перехресті вул. Грязнова - вул. Артема</t>
  </si>
  <si>
    <t>Перелік об'єктів, видатки на які у 2014 році будуть проводитися за рахунок коштів бюджету розвитку</t>
  </si>
  <si>
    <t>Реконстуркція вул. Лермонтова (від вул.Правди до вул.Заводської ) м.Запоріжжя (проектні та будівельні роботи)</t>
  </si>
  <si>
    <t>Будівництво світлофорного об'єкту на перехресті вул. Леппіка - вул. Дзержинського</t>
  </si>
  <si>
    <t>Будівництво світлофорного об'єкту на перехресті вул. Гоголя - вул. Комунарівська</t>
  </si>
  <si>
    <t>Будівництво світлофорного об'єкту на перехресті вул. Сєдова - виїзд з 7 медсанчастини</t>
  </si>
  <si>
    <t>Реконструкція вул. Горького (в межах від вул.Комунарівській до пл. Пушкіна) з заміною трамвайного полотна (проектні та будівельні роботи)</t>
  </si>
  <si>
    <t>Реконструкція скверуТеатрального в м.Запоріжжі (проектні та будівельні роботи)</t>
  </si>
  <si>
    <t>Реконструкція скверу на пл.Театральній зі спорудженням пам'ятника Т.Г.Шевченку (проектні роботи та експертиза) - погашення кредиторської заборгованості</t>
  </si>
  <si>
    <t>150118</t>
  </si>
  <si>
    <t>Житлове будівництво та придбання житла для окремих категорій населення</t>
  </si>
  <si>
    <t>Реконструкція Набережної магістралі (проектні та будівельні роботи)</t>
  </si>
  <si>
    <t>Реконструкція зовнішнього електропостачання будівлі Палацу спорту "Юність" (проектні роботи, експертиза)</t>
  </si>
  <si>
    <t>Інженерне забезпечення (електропостачання) об'єкту "Будівництво та облаштування притулку для утримання безпритульних тварин м.Запоріжжя"</t>
  </si>
  <si>
    <t xml:space="preserve">Реконструкція частини центральної пішохідної алеї по пр. Ювілейному в м.Запоріжжі (проектні робота, експертиза)
</t>
  </si>
  <si>
    <t xml:space="preserve">Реконструкція мереж зовнішнього освітлення вул. Перемоги, 80 (КУ «Міська клінічна лікарня екстреної та швидкої медичної допомоги») </t>
  </si>
  <si>
    <t>Будівництво мереж зовнішнього освітлення по вул. Вогнетривка, 1-11 (проектні роботи та експертиза)</t>
  </si>
  <si>
    <t>Комунальне підприємство "Експлуатаційне лінійне управління автомобільних шляхів" (придбання тротуароприбиральної машини Джонстон CN 101 - 1 одиниця, підмітально-прибиральної машини Brod Sweeden AB Scandia 2 - 1 одиниця, дорожньо-розміточної машини Graco Line Lazer IV 5900 - 1 одиниця)</t>
  </si>
  <si>
    <t>Будівництво мереж зовнішнього освітлення по вул.Прияружна, 4а-12 (проектні роботи та експертиза)</t>
  </si>
  <si>
    <t xml:space="preserve">Реконструкція частини будівлі під амбулаторію сімейного лікаря по вул. Воронезька, 10 в Хортицькому районі </t>
  </si>
  <si>
    <t>Реконструкція мереж зовнішнього освітлення підходів до греблі (ліва сторона)</t>
  </si>
  <si>
    <t>Інші субвенції</t>
  </si>
  <si>
    <t>Будівництво каналізаційної насосної станції та мереж електропостачання в районі Прибрежної магістралі - вул.Тбіліська (проектні та будівельні роботи)</t>
  </si>
  <si>
    <t>Внески органів місцевого самоврядування у статутні капітали суб'єктів підприємницької діяльності</t>
  </si>
  <si>
    <t>Управління комунального господарства та  дорожнього будівництва  Запорізької міської ради</t>
  </si>
  <si>
    <t>грн.</t>
  </si>
  <si>
    <t>Реконструкція скверу з влаштуванням фонтанів на площі Маяковського в м.Запоріжжі, присвячених ліквідаторам Чорнобильської катастрофи (проектні роботи, експертиза)</t>
  </si>
  <si>
    <t xml:space="preserve">Реконстуркція будівель та інженерних мереж комунальної установи «Міська клінічна лікарня екстреної та швидкої медичної допомоги м. Запоріжжя» по вул. Перемоги, 80 м.Запоріжжя (проектні та будівельні роботи) </t>
  </si>
  <si>
    <t>Міське комунальне підприємство "Основаніє" (придбання деревоподрібнюючої машини - 6 од., інструменту для прочистки каналізації "REMS" Кобра - 11 од., вантажопасажирських автомобілів АС - G2752 ВП 6 - 2 од.)</t>
  </si>
  <si>
    <t>070802</t>
  </si>
  <si>
    <t>Методична робота, інші заходи у сфері народної освіти</t>
  </si>
  <si>
    <t xml:space="preserve">                                                                                                                                                                                                                                                                                                                                                                                                                                                                                                                                                                                                                                                                                                                                                                                                                                                                                                                                                                                                                                                                                </t>
  </si>
  <si>
    <t>Департамент житлового господарства та розподілу житлової площі Запорізької міської ради</t>
  </si>
  <si>
    <t>100203</t>
  </si>
  <si>
    <t>45</t>
  </si>
  <si>
    <t>Департамент комунальної власності та приватизації Запорізької міської ради</t>
  </si>
  <si>
    <t>56</t>
  </si>
  <si>
    <t>Управління з питань земельних відносин Запорізької міської ради</t>
  </si>
  <si>
    <t>Управління з питань транспортного забезпечення та зв'язку Запорізької міської ради</t>
  </si>
  <si>
    <t>Діяльність і послуги не віднесені до інших категорій</t>
  </si>
  <si>
    <t xml:space="preserve">Внески у статутні капітали комунальних підприємств міста </t>
  </si>
  <si>
    <t>Управління з питань попередження надзвичайних ситуацій та цивільного захисту населення Запорізької міської ради</t>
  </si>
  <si>
    <t xml:space="preserve">Видатки на запобігання та ліквідацію надзвичайних ситуацій та наслідків стихійного лиха </t>
  </si>
  <si>
    <t>Заходи з організації рятування на водах</t>
  </si>
  <si>
    <t>Департамент економічного розвитку Запорізької міської ради</t>
  </si>
  <si>
    <t>Реконструкція хлораторної ДВС-2,  м. Запоріжжя (проектні та будівельні роботи)</t>
  </si>
  <si>
    <t>Водогін Д=800 мм в балці "Панська" у районі кладовища "Бугайова", м.Запоріжжя - реконструкція</t>
  </si>
  <si>
    <t>Газифікація житлових будинків по вул. Шушенська в Ленінському районі м.Запоріжжя (проектні та будівельні роботи)</t>
  </si>
  <si>
    <t xml:space="preserve">Газифікація житлових будинків № 7, 9, 10, 11, 12, 14 по вул. Пшеничній сел. Будівельників Шевченківського району м.Запоріжжя </t>
  </si>
  <si>
    <t>Розширення і реконструкція центральних каналізаційних очисних споруд Лівого берега (ЦОС-1). Технологічні трубопроводи. (Колектор К-28) — погашення заборгованості за минулі роки</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</si>
  <si>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</si>
  <si>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 xml:space="preserve">Магістральна теплова мережа по вул. Героїв Сталінграду, м. Запоріжжя - реконструкція </t>
  </si>
  <si>
    <t>75</t>
  </si>
  <si>
    <t>Департамент фінансової та бюджетної політики Запорізької міської ради</t>
  </si>
  <si>
    <t>76</t>
  </si>
  <si>
    <t>Районна адміністрація Запорізької міської ради по Ленінському району</t>
  </si>
  <si>
    <t>Благоустрій міста</t>
  </si>
  <si>
    <t>150101</t>
  </si>
  <si>
    <t>Районна адміністрація Запорізької міської ради по Хортицькому району</t>
  </si>
  <si>
    <t>Районна адміністрація Запорізької міської ради по Орджонікідзевському району</t>
  </si>
  <si>
    <t>Реконструкція парку "Трудової слави" в м. Запоріжжі</t>
  </si>
  <si>
    <t>Реконструкція дороги по вул. Чубаря з влаштуванням гостьових автомобільних стоянок (проектні роботи, експертиза)</t>
  </si>
  <si>
    <t>Реконструкція пішохідної алеї від вул. Чубаря до вул. Південноукраїнської (проектні роботи, експертиза)</t>
  </si>
  <si>
    <t>Реконструкція  пам'ятника "Металургам"  в м. Запоріжжя (проектні та будівельні роботи) — погашення заборгованості за минулі роки</t>
  </si>
  <si>
    <t>Районна адміністрація Запорізької міської ради по Жовтневому району</t>
  </si>
  <si>
    <t>Районна адміністрація Запорізької міської ради по Шевченківському району</t>
  </si>
  <si>
    <t>Районна адміністрація Запорізької міської ради по Заводському району</t>
  </si>
  <si>
    <t>Реконструкція скверу, прилеглого до ПК "Заводський" з улаштуванням дитячого майданчику</t>
  </si>
  <si>
    <t>Районна адміністрація Запорізької міської ради по Комунарському району</t>
  </si>
  <si>
    <t>Всього видатків</t>
  </si>
  <si>
    <t>Секретар міської ради</t>
  </si>
  <si>
    <t>Р.О.Таран</t>
  </si>
  <si>
    <t>Реконструкція ринку Соцміста КП "Запоріжринок" вул. Рекордна,2 м.Запоріжжя (проектні та будівельні роботи)</t>
  </si>
  <si>
    <t>капітальні видатки - погашення заборгованості за минулі роки</t>
  </si>
  <si>
    <t>вул.Узбекистанська, 5</t>
  </si>
  <si>
    <t xml:space="preserve">Реконструкція комунального закладу "Амбулаторія сімейного лікаря з вбудованою квартирою у селищі Тепличне в Шевченківському районі м. Запоріжжя" (проектні та будівельні роботи) </t>
  </si>
  <si>
    <t>Будівництво теплової мережі до ІІІ- ої секції житлового будинку по вул.Дзержинського, 114 м.Запоріжжя (проектні та будівельні роботи)</t>
  </si>
  <si>
    <t xml:space="preserve">Реконструкція  приміщень комунальної установи  "Міська клінічна лікарня №2", м. Запоріжжя (проектні та будівельні роботи)   </t>
  </si>
  <si>
    <t xml:space="preserve">капітальні видатки </t>
  </si>
  <si>
    <t>Попередження створенню аварійного стану прибудови комунального підприємства Палац культури "Орбіта" (проектні та будівельні роботи)</t>
  </si>
  <si>
    <t xml:space="preserve">Житлові будинки  по вул. Нижньодніпровській, 14, 16, 18, по бул. Гвардійському, 145а, 147а, 151, 153  - реконструкція системи холодного та гарячого водопостачання </t>
  </si>
  <si>
    <t xml:space="preserve">Житловий будинок  по вул.Республіканській, 88 - реконструкція </t>
  </si>
  <si>
    <t xml:space="preserve">Ліквідація аварійного стану житлового будинку по вул. Ракетній, 38а </t>
  </si>
  <si>
    <t xml:space="preserve">Житловий будинок по бул. Вінтера,50 - реконструкція  </t>
  </si>
  <si>
    <t>Реконструкція приміщень другого поверху травматологічного корпусу КУ "Міська багатопрофільна клінічна лікарня №9" під відділення інтенсивної терапії" (проектні роботи)</t>
  </si>
  <si>
    <t>Будівництво мережі каналів оптичнгого зв'язку по пр. Леніна та прилеглих до нього територій (скверів, парків та площь) - 1 черга (проекті роботи)</t>
  </si>
  <si>
    <t>Реконструкція площі Фестивальної в м.Запоріжжя (проекті роботи та експертиза)</t>
  </si>
  <si>
    <t>Комунальне підриємство "Титан" (придбання пляжеприбиральної машини "Ondina" (SCAM) - 1 одиниця, міні трактори МТ 6112 - 2 одиниці)</t>
  </si>
  <si>
    <t>Комунальне підприємство "Водоканал" (придбання екскаваторів-навантажувачів з комплектами навісного обладнання - 2 од)</t>
  </si>
  <si>
    <t>Комунальний заклад "Міська клінічна лікарня №3" - реконструкція відділення очної травми та приймального відділення (проектні роботи)</t>
  </si>
  <si>
    <t>Комунальне підприємство "Міжнародний аеропорт Запоріжжя" (проведення заходів для проходження чергової  сертифікаційної перевірки, придбання кільцевого багажного транспортера (конвеєра))</t>
  </si>
  <si>
    <t xml:space="preserve">Житловий будинок по вул. Нагнибіди,15 – реконструкція системи тепло-, водопостачання  </t>
  </si>
  <si>
    <t xml:space="preserve">Реконструкція системи диспетчеризації ліфтового господарства в Комунарському районі м. Запоріжжя  </t>
  </si>
  <si>
    <t xml:space="preserve">Ліквідація аварійного стану автодороги, зливової та побутової каналізації по вул. М.Судця, м. Запоріжжя  </t>
  </si>
  <si>
    <t xml:space="preserve">Ліквідація аварійного стану на дорожній насипі проїзної частини дороги по вул. Перемоги (в р-ні міської лікарні №6) (проектні роботи, будівництво)   </t>
  </si>
  <si>
    <t xml:space="preserve">Будівництво водогону Д=315 мм по вул.Сапожнікова, м. Запоріжжя  </t>
  </si>
  <si>
    <t>Реконструкція водопроводу Д=400 мм по вул. Родгоспній від вул. Парамонова до вул. Польової</t>
  </si>
  <si>
    <t xml:space="preserve">Газифікація житлових будинків по вул.Воєнбуд м.Запоріжжя  </t>
  </si>
  <si>
    <t>Періодичні видання (газети та журнали)</t>
  </si>
  <si>
    <t>080500</t>
  </si>
  <si>
    <t>Загальні і спеціалізовані стоматологічні поліклініки</t>
  </si>
  <si>
    <t xml:space="preserve">Реконстуркція скверу біля пам'ятника ім. Ф.Є.Дзержинського, в м.Запоріжжі </t>
  </si>
  <si>
    <t>Будівництво трамвайної колії від пр. Леніна до вул. Жовтневої в м.Запоріжжі (проектно-вишукувальні роботи, експертиза)</t>
  </si>
  <si>
    <t>Комунальне підприємство "Зеленбуд" (придбання бензопил "STIHL" - 6 од., безопил "Мотор-Січ - 2 од., мотоножиць"STIHL" - 4 од., мотокіс "STIHL" - 15 од., висоторізів "STIHL" - 8 од.)</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</si>
</sst>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s>
  <fonts count="40">
    <font>
      <sz val="11"/>
      <color indexed="8"/>
      <name val="Calibri"/>
      <family val="2"/>
    </font>
    <font>
      <sz val="10"/>
      <name val="Arial"/>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6"/>
      <color indexed="8"/>
      <name val="Calibri"/>
      <family val="2"/>
    </font>
    <font>
      <sz val="12"/>
      <color indexed="8"/>
      <name val="Arial"/>
      <family val="2"/>
    </font>
    <font>
      <sz val="8"/>
      <name val="Calibri"/>
      <family val="2"/>
    </font>
    <font>
      <u val="single"/>
      <sz val="8.25"/>
      <color indexed="12"/>
      <name val="Calibri"/>
      <family val="2"/>
    </font>
    <font>
      <u val="single"/>
      <sz val="8.25"/>
      <color indexed="36"/>
      <name val="Calibri"/>
      <family val="2"/>
    </font>
    <font>
      <sz val="11"/>
      <color indexed="8"/>
      <name val="Times New Roman"/>
      <family val="1"/>
    </font>
    <font>
      <sz val="16"/>
      <color indexed="8"/>
      <name val="Times New Roman"/>
      <family val="1"/>
    </font>
    <font>
      <sz val="12"/>
      <color indexed="8"/>
      <name val="Times New Roman"/>
      <family val="1"/>
    </font>
    <font>
      <sz val="22"/>
      <color indexed="8"/>
      <name val="Times New Roman"/>
      <family val="1"/>
    </font>
    <font>
      <b/>
      <sz val="18"/>
      <color indexed="8"/>
      <name val="Times New Roman"/>
      <family val="1"/>
    </font>
    <font>
      <b/>
      <sz val="12"/>
      <color indexed="8"/>
      <name val="Arial"/>
      <family val="2"/>
    </font>
    <font>
      <sz val="10"/>
      <color indexed="8"/>
      <name val="Arial"/>
      <family val="2"/>
    </font>
    <font>
      <sz val="12"/>
      <color indexed="8"/>
      <name val="Calibri"/>
      <family val="2"/>
    </font>
    <font>
      <b/>
      <sz val="12"/>
      <color indexed="8"/>
      <name val="Arial Cyr"/>
      <family val="2"/>
    </font>
    <font>
      <u val="single"/>
      <sz val="11"/>
      <color indexed="8"/>
      <name val="Calibri"/>
      <family val="2"/>
    </font>
    <font>
      <b/>
      <sz val="11"/>
      <color indexed="10"/>
      <name val="Calibri"/>
      <family val="2"/>
    </font>
    <font>
      <b/>
      <sz val="11"/>
      <name val="Calibri"/>
      <family val="2"/>
    </font>
    <font>
      <sz val="12"/>
      <name val="Arial"/>
      <family val="2"/>
    </font>
    <font>
      <sz val="9"/>
      <name val="Arial Cyr"/>
      <family val="2"/>
    </font>
    <font>
      <sz val="12"/>
      <color indexed="10"/>
      <name val="Arial"/>
      <family val="2"/>
    </font>
    <font>
      <b/>
      <u val="single"/>
      <sz val="22"/>
      <color indexed="8"/>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0" fillId="0" borderId="0">
      <alignment/>
      <protection/>
    </xf>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22" fillId="0" borderId="0" applyNumberFormat="0" applyFill="0" applyBorder="0" applyAlignment="0" applyProtection="0"/>
    <xf numFmtId="178" fontId="1" fillId="0" borderId="0" applyFill="0" applyBorder="0" applyAlignment="0" applyProtection="0"/>
    <xf numFmtId="176" fontId="1" fillId="0" borderId="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0" borderId="0">
      <alignment/>
      <protection/>
    </xf>
    <xf numFmtId="0" fontId="23" fillId="0" borderId="0" applyNumberFormat="0" applyFill="0" applyBorder="0" applyAlignment="0" applyProtection="0"/>
    <xf numFmtId="0" fontId="14" fillId="3" borderId="0" applyNumberFormat="0" applyBorder="0" applyAlignment="0" applyProtection="0"/>
    <xf numFmtId="0" fontId="15"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179" fontId="1" fillId="0" borderId="0" applyFill="0" applyBorder="0" applyAlignment="0" applyProtection="0"/>
    <xf numFmtId="177" fontId="1" fillId="0" borderId="0" applyFill="0" applyBorder="0" applyAlignment="0" applyProtection="0"/>
    <xf numFmtId="0" fontId="18" fillId="4" borderId="0" applyNumberFormat="0" applyBorder="0" applyAlignment="0" applyProtection="0"/>
  </cellStyleXfs>
  <cellXfs count="99">
    <xf numFmtId="0" fontId="0" fillId="0" borderId="0" xfId="0" applyAlignment="1">
      <alignment/>
    </xf>
    <xf numFmtId="0" fontId="0" fillId="24" borderId="0" xfId="0" applyFill="1" applyAlignment="1">
      <alignment horizontal="right" wrapText="1"/>
    </xf>
    <xf numFmtId="0" fontId="0" fillId="24" borderId="0" xfId="0" applyFill="1" applyAlignment="1">
      <alignment horizontal="left" wrapText="1"/>
    </xf>
    <xf numFmtId="0" fontId="0" fillId="24" borderId="0" xfId="0" applyFill="1" applyAlignment="1">
      <alignment wrapText="1"/>
    </xf>
    <xf numFmtId="0" fontId="19" fillId="24" borderId="0" xfId="0" applyFont="1" applyFill="1" applyAlignment="1">
      <alignment horizontal="right" wrapText="1"/>
    </xf>
    <xf numFmtId="0" fontId="0" fillId="24" borderId="0" xfId="0" applyFill="1" applyBorder="1" applyAlignment="1">
      <alignment horizontal="right" wrapText="1"/>
    </xf>
    <xf numFmtId="0" fontId="0" fillId="24" borderId="0" xfId="0" applyFill="1" applyBorder="1" applyAlignment="1">
      <alignment horizontal="left" wrapText="1"/>
    </xf>
    <xf numFmtId="0" fontId="20" fillId="24" borderId="10" xfId="0" applyFont="1" applyFill="1" applyBorder="1" applyAlignment="1">
      <alignment horizontal="center" vertical="center" wrapText="1"/>
    </xf>
    <xf numFmtId="0" fontId="0" fillId="24" borderId="0" xfId="0" applyFill="1" applyAlignment="1">
      <alignment horizontal="center" vertical="center" wrapText="1"/>
    </xf>
    <xf numFmtId="0" fontId="0" fillId="0" borderId="0" xfId="0" applyFill="1" applyAlignment="1">
      <alignment horizontal="right" wrapText="1"/>
    </xf>
    <xf numFmtId="0" fontId="0" fillId="0" borderId="0" xfId="0" applyFill="1" applyBorder="1" applyAlignment="1">
      <alignment horizontal="right" wrapText="1"/>
    </xf>
    <xf numFmtId="0" fontId="20" fillId="0" borderId="10" xfId="0" applyFont="1" applyFill="1" applyBorder="1" applyAlignment="1">
      <alignment horizontal="center" vertical="center" wrapText="1"/>
    </xf>
    <xf numFmtId="0" fontId="24" fillId="24" borderId="0" xfId="0" applyFont="1" applyFill="1" applyAlignment="1">
      <alignment horizontal="right" wrapText="1"/>
    </xf>
    <xf numFmtId="0" fontId="25" fillId="24" borderId="0" xfId="0" applyFont="1" applyFill="1" applyAlignment="1">
      <alignment horizontal="right" wrapText="1"/>
    </xf>
    <xf numFmtId="0" fontId="26" fillId="24" borderId="10" xfId="0" applyFont="1" applyFill="1" applyBorder="1" applyAlignment="1">
      <alignment horizontal="center" vertical="center" wrapText="1"/>
    </xf>
    <xf numFmtId="0" fontId="27" fillId="24" borderId="0" xfId="0" applyFont="1" applyFill="1" applyAlignment="1">
      <alignment horizontal="right"/>
    </xf>
    <xf numFmtId="0" fontId="20" fillId="24" borderId="10" xfId="0" applyFont="1" applyFill="1" applyBorder="1" applyAlignment="1">
      <alignment horizontal="right" wrapText="1"/>
    </xf>
    <xf numFmtId="0" fontId="20" fillId="24" borderId="10" xfId="0" applyFont="1" applyFill="1" applyBorder="1" applyAlignment="1">
      <alignment horizontal="left" wrapText="1"/>
    </xf>
    <xf numFmtId="0" fontId="0" fillId="25" borderId="0" xfId="0" applyFont="1" applyFill="1" applyBorder="1" applyAlignment="1">
      <alignment horizontal="left" wrapText="1"/>
    </xf>
    <xf numFmtId="3" fontId="20" fillId="24" borderId="10" xfId="0" applyNumberFormat="1" applyFont="1" applyFill="1" applyBorder="1" applyAlignment="1">
      <alignment horizontal="right" wrapText="1"/>
    </xf>
    <xf numFmtId="180" fontId="20" fillId="24" borderId="10" xfId="0" applyNumberFormat="1" applyFont="1" applyFill="1" applyBorder="1" applyAlignment="1">
      <alignment horizontal="right" wrapText="1"/>
    </xf>
    <xf numFmtId="3" fontId="20" fillId="0" borderId="10" xfId="0" applyNumberFormat="1" applyFont="1" applyFill="1" applyBorder="1" applyAlignment="1">
      <alignment horizontal="right" wrapText="1"/>
    </xf>
    <xf numFmtId="0" fontId="0" fillId="24" borderId="0" xfId="0" applyFont="1" applyFill="1" applyAlignment="1">
      <alignment wrapText="1"/>
    </xf>
    <xf numFmtId="0" fontId="0" fillId="25" borderId="11" xfId="0" applyFont="1" applyFill="1" applyBorder="1" applyAlignment="1">
      <alignment horizontal="left" wrapText="1"/>
    </xf>
    <xf numFmtId="0" fontId="0" fillId="0" borderId="11" xfId="0" applyFont="1" applyFill="1" applyBorder="1" applyAlignment="1">
      <alignment wrapText="1"/>
    </xf>
    <xf numFmtId="0" fontId="20" fillId="0" borderId="10" xfId="0" applyFont="1" applyFill="1" applyBorder="1" applyAlignment="1">
      <alignment horizontal="left" wrapText="1"/>
    </xf>
    <xf numFmtId="0" fontId="29" fillId="22" borderId="10" xfId="0" applyFont="1" applyFill="1" applyBorder="1" applyAlignment="1">
      <alignment horizontal="right" wrapText="1"/>
    </xf>
    <xf numFmtId="0" fontId="29" fillId="22" borderId="10" xfId="0" applyFont="1" applyFill="1" applyBorder="1" applyAlignment="1">
      <alignment horizontal="left" wrapText="1"/>
    </xf>
    <xf numFmtId="3" fontId="29" fillId="22" borderId="10" xfId="0" applyNumberFormat="1" applyFont="1" applyFill="1" applyBorder="1" applyAlignment="1">
      <alignment horizontal="right" wrapText="1"/>
    </xf>
    <xf numFmtId="0" fontId="9" fillId="24" borderId="0" xfId="0" applyFont="1" applyFill="1" applyAlignment="1">
      <alignment wrapText="1"/>
    </xf>
    <xf numFmtId="180" fontId="29" fillId="22" borderId="10" xfId="0" applyNumberFormat="1" applyFont="1" applyFill="1" applyBorder="1" applyAlignment="1">
      <alignment horizontal="right" wrapText="1"/>
    </xf>
    <xf numFmtId="3" fontId="29" fillId="0" borderId="10" xfId="0" applyNumberFormat="1" applyFont="1" applyFill="1" applyBorder="1" applyAlignment="1">
      <alignment horizontal="right" wrapText="1"/>
    </xf>
    <xf numFmtId="0" fontId="20" fillId="22" borderId="10" xfId="0" applyFont="1" applyFill="1" applyBorder="1" applyAlignment="1">
      <alignment horizontal="left" wrapText="1"/>
    </xf>
    <xf numFmtId="3" fontId="20" fillId="22" borderId="10" xfId="0" applyNumberFormat="1" applyFont="1" applyFill="1" applyBorder="1" applyAlignment="1">
      <alignment horizontal="right" wrapText="1"/>
    </xf>
    <xf numFmtId="180" fontId="20" fillId="22" borderId="10" xfId="0" applyNumberFormat="1" applyFont="1" applyFill="1" applyBorder="1" applyAlignment="1">
      <alignment horizontal="right" wrapText="1"/>
    </xf>
    <xf numFmtId="0" fontId="29" fillId="24" borderId="10" xfId="0" applyFont="1" applyFill="1" applyBorder="1" applyAlignment="1">
      <alignment horizontal="right" wrapText="1"/>
    </xf>
    <xf numFmtId="0" fontId="29" fillId="24" borderId="10" xfId="0" applyFont="1" applyFill="1" applyBorder="1" applyAlignment="1">
      <alignment horizontal="left" wrapText="1"/>
    </xf>
    <xf numFmtId="3" fontId="9" fillId="24" borderId="0" xfId="0" applyNumberFormat="1" applyFont="1" applyFill="1" applyAlignment="1">
      <alignment wrapText="1"/>
    </xf>
    <xf numFmtId="0" fontId="0" fillId="0" borderId="0" xfId="0" applyFont="1" applyAlignment="1">
      <alignment/>
    </xf>
    <xf numFmtId="0" fontId="9" fillId="0" borderId="0" xfId="0" applyFont="1" applyFill="1" applyAlignment="1">
      <alignment wrapText="1"/>
    </xf>
    <xf numFmtId="49" fontId="20" fillId="0" borderId="10" xfId="0" applyNumberFormat="1" applyFont="1" applyBorder="1" applyAlignment="1">
      <alignment horizontal="right"/>
    </xf>
    <xf numFmtId="0" fontId="20" fillId="0" borderId="10" xfId="0" applyFont="1" applyBorder="1" applyAlignment="1">
      <alignment horizontal="left" vertical="center" wrapText="1"/>
    </xf>
    <xf numFmtId="0" fontId="20" fillId="0" borderId="10" xfId="0" applyFont="1" applyBorder="1" applyAlignment="1">
      <alignment horizontal="left" wrapText="1"/>
    </xf>
    <xf numFmtId="3" fontId="20" fillId="25" borderId="10" xfId="0" applyNumberFormat="1" applyFont="1" applyFill="1" applyBorder="1" applyAlignment="1">
      <alignment horizontal="right" wrapText="1"/>
    </xf>
    <xf numFmtId="0" fontId="20" fillId="24" borderId="12" xfId="0" applyFont="1" applyFill="1" applyBorder="1" applyAlignment="1">
      <alignment horizontal="right" wrapText="1"/>
    </xf>
    <xf numFmtId="0" fontId="20" fillId="24" borderId="12" xfId="0" applyFont="1" applyFill="1" applyBorder="1" applyAlignment="1">
      <alignment horizontal="left" wrapText="1"/>
    </xf>
    <xf numFmtId="3" fontId="20" fillId="24" borderId="12" xfId="0" applyNumberFormat="1" applyFont="1" applyFill="1" applyBorder="1" applyAlignment="1">
      <alignment horizontal="right" wrapText="1"/>
    </xf>
    <xf numFmtId="180" fontId="20" fillId="24" borderId="12" xfId="0" applyNumberFormat="1" applyFont="1" applyFill="1" applyBorder="1" applyAlignment="1">
      <alignment horizontal="right" wrapText="1"/>
    </xf>
    <xf numFmtId="0" fontId="20" fillId="24" borderId="11" xfId="0" applyFont="1" applyFill="1" applyBorder="1" applyAlignment="1">
      <alignment horizontal="right" wrapText="1"/>
    </xf>
    <xf numFmtId="0" fontId="0" fillId="0" borderId="11" xfId="0" applyFont="1" applyBorder="1" applyAlignment="1">
      <alignment/>
    </xf>
    <xf numFmtId="0" fontId="20" fillId="24" borderId="11" xfId="0" applyFont="1" applyFill="1" applyBorder="1" applyAlignment="1">
      <alignment horizontal="left" wrapText="1"/>
    </xf>
    <xf numFmtId="3" fontId="20" fillId="24" borderId="11" xfId="0" applyNumberFormat="1" applyFont="1" applyFill="1" applyBorder="1" applyAlignment="1">
      <alignment horizontal="right" wrapText="1"/>
    </xf>
    <xf numFmtId="180" fontId="20" fillId="24" borderId="11" xfId="0" applyNumberFormat="1" applyFont="1" applyFill="1" applyBorder="1" applyAlignment="1">
      <alignment horizontal="right" wrapText="1"/>
    </xf>
    <xf numFmtId="3" fontId="20" fillId="24" borderId="13" xfId="0" applyNumberFormat="1" applyFont="1" applyFill="1" applyBorder="1" applyAlignment="1">
      <alignment horizontal="right" wrapText="1"/>
    </xf>
    <xf numFmtId="0" fontId="20" fillId="24" borderId="14" xfId="0" applyFont="1" applyFill="1" applyBorder="1" applyAlignment="1">
      <alignment horizontal="right" wrapText="1"/>
    </xf>
    <xf numFmtId="0" fontId="20" fillId="24" borderId="14" xfId="0" applyFont="1" applyFill="1" applyBorder="1" applyAlignment="1">
      <alignment horizontal="left" wrapText="1"/>
    </xf>
    <xf numFmtId="3" fontId="20" fillId="24" borderId="14" xfId="0" applyNumberFormat="1" applyFont="1" applyFill="1" applyBorder="1" applyAlignment="1">
      <alignment horizontal="right" wrapText="1"/>
    </xf>
    <xf numFmtId="0" fontId="20" fillId="0" borderId="10" xfId="0" applyFont="1" applyFill="1" applyBorder="1" applyAlignment="1">
      <alignment horizontal="right" wrapText="1"/>
    </xf>
    <xf numFmtId="180" fontId="20" fillId="0" borderId="10" xfId="0" applyNumberFormat="1" applyFont="1" applyFill="1" applyBorder="1" applyAlignment="1">
      <alignment horizontal="right" wrapText="1"/>
    </xf>
    <xf numFmtId="0" fontId="0" fillId="0" borderId="0" xfId="0" applyFont="1" applyFill="1" applyAlignment="1">
      <alignment wrapText="1"/>
    </xf>
    <xf numFmtId="0" fontId="20" fillId="24" borderId="10" xfId="0" applyFont="1" applyFill="1" applyBorder="1" applyAlignment="1" quotePrefix="1">
      <alignment horizontal="right" wrapText="1"/>
    </xf>
    <xf numFmtId="49" fontId="20" fillId="24" borderId="10" xfId="0" applyNumberFormat="1" applyFont="1" applyFill="1" applyBorder="1" applyAlignment="1">
      <alignment horizontal="right" wrapText="1"/>
    </xf>
    <xf numFmtId="3" fontId="0" fillId="24" borderId="0" xfId="0" applyNumberFormat="1" applyFont="1" applyFill="1" applyAlignment="1">
      <alignment wrapText="1"/>
    </xf>
    <xf numFmtId="0" fontId="29" fillId="0" borderId="10" xfId="0" applyFont="1" applyFill="1" applyBorder="1" applyAlignment="1">
      <alignment horizontal="left" wrapText="1"/>
    </xf>
    <xf numFmtId="3" fontId="29" fillId="0" borderId="10" xfId="0" applyNumberFormat="1" applyFont="1" applyFill="1" applyBorder="1" applyAlignment="1">
      <alignment horizontal="left" wrapText="1"/>
    </xf>
    <xf numFmtId="49" fontId="31" fillId="0" borderId="10" xfId="0" applyNumberFormat="1" applyFont="1" applyBorder="1" applyAlignment="1">
      <alignment horizontal="center"/>
    </xf>
    <xf numFmtId="0" fontId="31" fillId="0" borderId="10" xfId="0" applyFont="1" applyBorder="1" applyAlignment="1">
      <alignment wrapText="1"/>
    </xf>
    <xf numFmtId="0" fontId="32" fillId="22" borderId="10" xfId="0" applyFont="1" applyFill="1" applyBorder="1" applyAlignment="1">
      <alignment horizontal="left" wrapText="1"/>
    </xf>
    <xf numFmtId="0" fontId="32" fillId="22" borderId="10" xfId="0" applyFont="1" applyFill="1" applyBorder="1" applyAlignment="1">
      <alignment horizontal="right" wrapText="1"/>
    </xf>
    <xf numFmtId="0" fontId="30" fillId="24" borderId="0" xfId="0" applyFont="1" applyFill="1" applyAlignment="1">
      <alignment horizontal="right" wrapText="1"/>
    </xf>
    <xf numFmtId="0" fontId="30" fillId="24" borderId="0" xfId="0" applyFont="1" applyFill="1" applyAlignment="1">
      <alignment horizontal="left" wrapText="1"/>
    </xf>
    <xf numFmtId="0" fontId="30" fillId="0" borderId="0" xfId="0" applyFont="1" applyFill="1" applyAlignment="1">
      <alignment horizontal="right" wrapText="1"/>
    </xf>
    <xf numFmtId="0" fontId="27" fillId="24" borderId="0" xfId="0" applyFont="1" applyFill="1" applyAlignment="1">
      <alignment horizontal="left" wrapText="1"/>
    </xf>
    <xf numFmtId="0" fontId="27" fillId="24" borderId="0" xfId="0" applyFont="1" applyFill="1" applyAlignment="1">
      <alignment horizontal="right"/>
    </xf>
    <xf numFmtId="3" fontId="0" fillId="24" borderId="0" xfId="0" applyNumberFormat="1" applyFill="1" applyAlignment="1">
      <alignment horizontal="right" wrapText="1"/>
    </xf>
    <xf numFmtId="3" fontId="20" fillId="0" borderId="15" xfId="0" applyNumberFormat="1" applyFont="1" applyFill="1" applyBorder="1" applyAlignment="1">
      <alignment horizontal="right" wrapText="1"/>
    </xf>
    <xf numFmtId="3" fontId="29" fillId="22" borderId="15" xfId="0" applyNumberFormat="1" applyFont="1" applyFill="1" applyBorder="1" applyAlignment="1">
      <alignment horizontal="right" wrapText="1"/>
    </xf>
    <xf numFmtId="3" fontId="20" fillId="25" borderId="15" xfId="0" applyNumberFormat="1" applyFont="1" applyFill="1" applyBorder="1" applyAlignment="1">
      <alignment horizontal="right" wrapText="1"/>
    </xf>
    <xf numFmtId="3" fontId="9" fillId="0" borderId="0" xfId="0" applyNumberFormat="1" applyFont="1" applyFill="1" applyAlignment="1">
      <alignment wrapText="1"/>
    </xf>
    <xf numFmtId="0" fontId="33" fillId="24" borderId="0" xfId="0" applyFont="1" applyFill="1" applyAlignment="1">
      <alignment horizontal="center" vertical="center" wrapText="1"/>
    </xf>
    <xf numFmtId="1" fontId="34" fillId="24" borderId="0" xfId="0" applyNumberFormat="1" applyFont="1" applyFill="1" applyAlignment="1">
      <alignment wrapText="1"/>
    </xf>
    <xf numFmtId="1" fontId="35" fillId="24" borderId="0" xfId="0" applyNumberFormat="1" applyFont="1" applyFill="1" applyAlignment="1">
      <alignment wrapText="1"/>
    </xf>
    <xf numFmtId="0" fontId="34" fillId="24" borderId="0" xfId="0" applyFont="1" applyFill="1" applyAlignment="1">
      <alignment wrapText="1"/>
    </xf>
    <xf numFmtId="0" fontId="17" fillId="24" borderId="0" xfId="0" applyFont="1" applyFill="1" applyAlignment="1">
      <alignment wrapText="1"/>
    </xf>
    <xf numFmtId="0" fontId="17" fillId="0" borderId="0" xfId="0" applyFont="1" applyFill="1" applyAlignment="1">
      <alignment wrapText="1"/>
    </xf>
    <xf numFmtId="1" fontId="17" fillId="0" borderId="0" xfId="0" applyNumberFormat="1" applyFont="1" applyFill="1" applyAlignment="1">
      <alignment wrapText="1"/>
    </xf>
    <xf numFmtId="1" fontId="17" fillId="24" borderId="0" xfId="0" applyNumberFormat="1" applyFont="1" applyFill="1" applyAlignment="1">
      <alignment wrapText="1"/>
    </xf>
    <xf numFmtId="1" fontId="34" fillId="0" borderId="0" xfId="0" applyNumberFormat="1" applyFont="1" applyFill="1" applyAlignment="1">
      <alignment wrapText="1"/>
    </xf>
    <xf numFmtId="0" fontId="36" fillId="0" borderId="10" xfId="0" applyFont="1" applyFill="1" applyBorder="1" applyAlignment="1">
      <alignment horizontal="right" wrapText="1"/>
    </xf>
    <xf numFmtId="0" fontId="37" fillId="0" borderId="11" xfId="0" applyFont="1" applyFill="1" applyBorder="1" applyAlignment="1">
      <alignment wrapText="1"/>
    </xf>
    <xf numFmtId="3" fontId="36" fillId="24" borderId="10" xfId="0" applyNumberFormat="1" applyFont="1" applyFill="1" applyBorder="1" applyAlignment="1">
      <alignment horizontal="right" wrapText="1"/>
    </xf>
    <xf numFmtId="3" fontId="36" fillId="0" borderId="10" xfId="0" applyNumberFormat="1" applyFont="1" applyFill="1" applyBorder="1" applyAlignment="1">
      <alignment horizontal="right" wrapText="1"/>
    </xf>
    <xf numFmtId="3" fontId="36" fillId="25" borderId="10" xfId="0" applyNumberFormat="1" applyFont="1" applyFill="1" applyBorder="1" applyAlignment="1">
      <alignment horizontal="right" wrapText="1"/>
    </xf>
    <xf numFmtId="3" fontId="38" fillId="24" borderId="10" xfId="0" applyNumberFormat="1" applyFont="1" applyFill="1" applyBorder="1" applyAlignment="1">
      <alignment horizontal="right" wrapText="1"/>
    </xf>
    <xf numFmtId="0" fontId="28" fillId="24" borderId="0" xfId="0" applyFont="1" applyFill="1" applyBorder="1" applyAlignment="1">
      <alignment horizontal="center" wrapText="1"/>
    </xf>
    <xf numFmtId="0" fontId="26" fillId="24"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39" fillId="24" borderId="0" xfId="0" applyFont="1" applyFill="1" applyAlignment="1">
      <alignment horizontal="left"/>
    </xf>
    <xf numFmtId="0" fontId="0" fillId="0" borderId="0" xfId="0" applyAlignment="1">
      <alignment horizontal="left"/>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5" xfId="54"/>
    <cellStyle name="Followed Hyperlink" xfId="55"/>
    <cellStyle name="Плохой" xfId="56"/>
    <cellStyle name="Пояснение" xfId="57"/>
    <cellStyle name="Примечание" xfId="58"/>
    <cellStyle name="Percent" xfId="59"/>
    <cellStyle name="Процентный 2" xfId="60"/>
    <cellStyle name="Процентный 2 3" xfId="61"/>
    <cellStyle name="Процентный 5" xfId="62"/>
    <cellStyle name="Связанная ячейка" xfId="63"/>
    <cellStyle name="Текст предупреждения" xfId="64"/>
    <cellStyle name="Comma" xfId="65"/>
    <cellStyle name="Comma [0]"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4%20&#1088;&#1110;&#1082;\&#1041;&#1102;&#1076;&#1078;&#1077;&#1090;%202014\&#1044;&#1086;&#1076;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44;&#1086;&#1076;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044;&#1086;&#1076;3.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044;&#1086;&#1076;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Місто"/>
    </sheetNames>
    <sheetDataSet>
      <sheetData sheetId="1">
        <row r="222">
          <cell r="K222">
            <v>0</v>
          </cell>
        </row>
        <row r="507">
          <cell r="K507">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Місто"/>
    </sheetNames>
    <sheetDataSet>
      <sheetData sheetId="1">
        <row r="11">
          <cell r="K11">
            <v>710383</v>
          </cell>
        </row>
        <row r="13">
          <cell r="K13">
            <v>253199</v>
          </cell>
        </row>
        <row r="16">
          <cell r="K16">
            <v>41424</v>
          </cell>
        </row>
        <row r="18">
          <cell r="K18">
            <v>415760</v>
          </cell>
        </row>
        <row r="19">
          <cell r="K19">
            <v>415760</v>
          </cell>
        </row>
        <row r="39">
          <cell r="K39">
            <v>20224239</v>
          </cell>
        </row>
        <row r="41">
          <cell r="K41">
            <v>14000</v>
          </cell>
        </row>
        <row r="43">
          <cell r="K43">
            <v>3063143</v>
          </cell>
        </row>
        <row r="45">
          <cell r="K45">
            <v>5415881</v>
          </cell>
        </row>
        <row r="47">
          <cell r="K47">
            <v>14800</v>
          </cell>
        </row>
        <row r="49">
          <cell r="K49">
            <v>151878</v>
          </cell>
        </row>
        <row r="51">
          <cell r="K51">
            <v>49000</v>
          </cell>
        </row>
        <row r="52">
          <cell r="K52">
            <v>400000</v>
          </cell>
        </row>
        <row r="53">
          <cell r="K53">
            <v>94430</v>
          </cell>
        </row>
        <row r="67">
          <cell r="K67">
            <v>39500</v>
          </cell>
        </row>
        <row r="72">
          <cell r="K72">
            <v>10981607</v>
          </cell>
        </row>
        <row r="82">
          <cell r="K82">
            <v>22491226</v>
          </cell>
        </row>
        <row r="84">
          <cell r="K84">
            <v>7000</v>
          </cell>
        </row>
        <row r="86">
          <cell r="K86">
            <v>4494364</v>
          </cell>
        </row>
        <row r="88">
          <cell r="K88">
            <v>699466</v>
          </cell>
        </row>
        <row r="89">
          <cell r="K89">
            <v>668216</v>
          </cell>
        </row>
        <row r="91">
          <cell r="K91">
            <v>6000</v>
          </cell>
        </row>
        <row r="93">
          <cell r="K93">
            <v>5369781</v>
          </cell>
        </row>
        <row r="94">
          <cell r="K94">
            <v>11600</v>
          </cell>
        </row>
        <row r="95">
          <cell r="K95">
            <v>55200</v>
          </cell>
        </row>
        <row r="98">
          <cell r="K98">
            <v>11179599</v>
          </cell>
        </row>
        <row r="105">
          <cell r="K105">
            <v>5082291</v>
          </cell>
        </row>
        <row r="107">
          <cell r="K107">
            <v>523900</v>
          </cell>
        </row>
        <row r="117">
          <cell r="K117">
            <v>167200</v>
          </cell>
        </row>
        <row r="160">
          <cell r="K160">
            <v>119850</v>
          </cell>
        </row>
        <row r="164">
          <cell r="K164">
            <v>53060</v>
          </cell>
        </row>
        <row r="169">
          <cell r="K169">
            <v>4218281</v>
          </cell>
        </row>
        <row r="198">
          <cell r="K198">
            <v>7000</v>
          </cell>
        </row>
        <row r="200">
          <cell r="K200">
            <v>7000</v>
          </cell>
        </row>
        <row r="201">
          <cell r="K201">
            <v>3186783</v>
          </cell>
        </row>
        <row r="205">
          <cell r="K205">
            <v>1321</v>
          </cell>
        </row>
        <row r="206">
          <cell r="K206">
            <v>207061</v>
          </cell>
        </row>
        <row r="207">
          <cell r="K207">
            <v>1260908</v>
          </cell>
        </row>
        <row r="208">
          <cell r="K208">
            <v>1499254</v>
          </cell>
        </row>
        <row r="212">
          <cell r="K212">
            <v>81716</v>
          </cell>
        </row>
        <row r="213">
          <cell r="K213">
            <v>136523</v>
          </cell>
        </row>
        <row r="223">
          <cell r="K223">
            <v>1000200</v>
          </cell>
        </row>
        <row r="225">
          <cell r="K225">
            <v>14000</v>
          </cell>
        </row>
        <row r="226">
          <cell r="K226">
            <v>986200</v>
          </cell>
        </row>
        <row r="227">
          <cell r="K227">
            <v>986200</v>
          </cell>
        </row>
        <row r="239">
          <cell r="K239">
            <v>78760442</v>
          </cell>
        </row>
        <row r="241">
          <cell r="K241">
            <v>35000</v>
          </cell>
        </row>
        <row r="251">
          <cell r="K251">
            <v>33149648</v>
          </cell>
        </row>
        <row r="253">
          <cell r="K253">
            <v>780803</v>
          </cell>
        </row>
        <row r="256">
          <cell r="K256">
            <v>1446751</v>
          </cell>
        </row>
        <row r="258">
          <cell r="K258">
            <v>33145635</v>
          </cell>
        </row>
        <row r="270">
          <cell r="K270">
            <v>1287772</v>
          </cell>
        </row>
        <row r="337">
          <cell r="K337">
            <v>61915</v>
          </cell>
        </row>
        <row r="339">
          <cell r="K339">
            <v>61915</v>
          </cell>
        </row>
        <row r="347">
          <cell r="K347">
            <v>1664951</v>
          </cell>
        </row>
        <row r="349">
          <cell r="K349">
            <v>14000</v>
          </cell>
        </row>
        <row r="351">
          <cell r="K351">
            <v>1550464</v>
          </cell>
        </row>
        <row r="353">
          <cell r="K353">
            <v>100487</v>
          </cell>
        </row>
        <row r="361">
          <cell r="K361">
            <v>41720</v>
          </cell>
        </row>
        <row r="363">
          <cell r="K363">
            <v>41720</v>
          </cell>
        </row>
        <row r="366">
          <cell r="K366">
            <v>21000</v>
          </cell>
        </row>
        <row r="368">
          <cell r="K368">
            <v>21000</v>
          </cell>
        </row>
        <row r="375">
          <cell r="K375">
            <v>3804223</v>
          </cell>
        </row>
        <row r="377">
          <cell r="K377">
            <v>7000</v>
          </cell>
        </row>
        <row r="379">
          <cell r="K379">
            <v>296214</v>
          </cell>
        </row>
        <row r="380">
          <cell r="K380">
            <v>1381022</v>
          </cell>
        </row>
        <row r="384">
          <cell r="K384">
            <v>480946</v>
          </cell>
        </row>
        <row r="394">
          <cell r="K394">
            <v>6354408</v>
          </cell>
        </row>
        <row r="396">
          <cell r="K396">
            <v>7000</v>
          </cell>
        </row>
        <row r="398">
          <cell r="K398">
            <v>6121139</v>
          </cell>
        </row>
        <row r="401">
          <cell r="K401">
            <v>226269</v>
          </cell>
        </row>
        <row r="402">
          <cell r="K402">
            <v>7046384</v>
          </cell>
        </row>
        <row r="404">
          <cell r="K404">
            <v>35000</v>
          </cell>
        </row>
        <row r="408">
          <cell r="K408">
            <v>7011384</v>
          </cell>
        </row>
        <row r="420">
          <cell r="K420">
            <v>70000</v>
          </cell>
        </row>
        <row r="422">
          <cell r="K422">
            <v>70000</v>
          </cell>
        </row>
        <row r="437">
          <cell r="K437">
            <v>68812</v>
          </cell>
        </row>
        <row r="439">
          <cell r="K439">
            <v>68812</v>
          </cell>
        </row>
        <row r="454">
          <cell r="K454">
            <v>28223</v>
          </cell>
        </row>
        <row r="456">
          <cell r="K456">
            <v>27827</v>
          </cell>
        </row>
        <row r="458">
          <cell r="K458">
            <v>396</v>
          </cell>
        </row>
        <row r="471">
          <cell r="K471">
            <v>4435921</v>
          </cell>
        </row>
        <row r="473">
          <cell r="K473">
            <v>27975</v>
          </cell>
        </row>
        <row r="476">
          <cell r="K476">
            <v>4407946</v>
          </cell>
        </row>
        <row r="488">
          <cell r="K488">
            <v>263375</v>
          </cell>
        </row>
        <row r="490">
          <cell r="K490">
            <v>42375</v>
          </cell>
        </row>
        <row r="493">
          <cell r="K493">
            <v>221000</v>
          </cell>
        </row>
        <row r="505">
          <cell r="K505">
            <v>27975</v>
          </cell>
        </row>
        <row r="507">
          <cell r="K507">
            <v>27975</v>
          </cell>
        </row>
        <row r="523">
          <cell r="K523">
            <v>30975</v>
          </cell>
        </row>
        <row r="525">
          <cell r="K525">
            <v>27975</v>
          </cell>
        </row>
        <row r="528">
          <cell r="K528">
            <v>3000</v>
          </cell>
        </row>
        <row r="541">
          <cell r="K541">
            <v>97047</v>
          </cell>
        </row>
        <row r="543">
          <cell r="K543">
            <v>27975</v>
          </cell>
        </row>
        <row r="545">
          <cell r="K545">
            <v>69072</v>
          </cell>
        </row>
        <row r="556">
          <cell r="K556">
            <v>155479493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Місто"/>
    </sheetNames>
    <sheetDataSet>
      <sheetData sheetId="0">
        <row r="205">
          <cell r="L205">
            <v>1550464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Свод"/>
    </sheetNames>
    <sheetDataSet>
      <sheetData sheetId="0">
        <row r="134">
          <cell r="K134">
            <v>75638421</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607"/>
  <sheetViews>
    <sheetView tabSelected="1" view="pageBreakPreview" zoomScale="75" zoomScaleNormal="74" zoomScaleSheetLayoutView="75" zoomScalePageLayoutView="0" workbookViewId="0" topLeftCell="A1">
      <selection activeCell="D4" sqref="D4"/>
    </sheetView>
  </sheetViews>
  <sheetFormatPr defaultColWidth="9.140625" defaultRowHeight="15"/>
  <cols>
    <col min="1" max="1" width="13.8515625" style="1" customWidth="1"/>
    <col min="2" max="2" width="62.140625" style="2" customWidth="1"/>
    <col min="3" max="3" width="66.8515625" style="2" customWidth="1"/>
    <col min="4" max="4" width="18.7109375" style="1" customWidth="1"/>
    <col min="5" max="5" width="14.140625" style="1" customWidth="1"/>
    <col min="6" max="6" width="20.421875" style="1" customWidth="1"/>
    <col min="7" max="7" width="15.57421875" style="9" customWidth="1"/>
    <col min="8" max="8" width="13.140625" style="3" customWidth="1"/>
    <col min="9" max="9" width="18.7109375" style="3" customWidth="1"/>
    <col min="10" max="16384" width="9.140625" style="3" customWidth="1"/>
  </cols>
  <sheetData>
    <row r="1" spans="4:6" ht="27.75">
      <c r="D1" s="12"/>
      <c r="E1" s="13"/>
      <c r="F1" s="15" t="s">
        <v>66</v>
      </c>
    </row>
    <row r="2" spans="4:6" ht="27.75">
      <c r="D2" s="12"/>
      <c r="E2" s="13"/>
      <c r="F2" s="15" t="s">
        <v>67</v>
      </c>
    </row>
    <row r="3" spans="4:6" ht="27.75">
      <c r="D3" s="97" t="s">
        <v>59</v>
      </c>
      <c r="E3" s="98"/>
      <c r="F3" s="98"/>
    </row>
    <row r="4" spans="5:6" ht="21">
      <c r="E4" s="4"/>
      <c r="F4" s="4"/>
    </row>
    <row r="5" ht="15" hidden="1"/>
    <row r="6" spans="1:7" ht="20.25" customHeight="1">
      <c r="A6" s="94" t="s">
        <v>324</v>
      </c>
      <c r="B6" s="94"/>
      <c r="C6" s="94"/>
      <c r="D6" s="94"/>
      <c r="E6" s="94"/>
      <c r="F6" s="94"/>
      <c r="G6" s="94"/>
    </row>
    <row r="7" spans="1:7" ht="15">
      <c r="A7" s="5"/>
      <c r="B7" s="6"/>
      <c r="C7" s="6"/>
      <c r="D7" s="5"/>
      <c r="E7" s="5"/>
      <c r="F7" s="5"/>
      <c r="G7" s="10"/>
    </row>
    <row r="8" spans="1:7" ht="15">
      <c r="A8" s="5"/>
      <c r="B8" s="6"/>
      <c r="C8" s="6"/>
      <c r="D8" s="5"/>
      <c r="E8" s="5"/>
      <c r="F8" s="5"/>
      <c r="G8" s="10" t="s">
        <v>348</v>
      </c>
    </row>
    <row r="9" spans="1:7" s="8" customFormat="1" ht="94.5">
      <c r="A9" s="14" t="s">
        <v>68</v>
      </c>
      <c r="B9" s="14" t="s">
        <v>69</v>
      </c>
      <c r="C9" s="95" t="s">
        <v>70</v>
      </c>
      <c r="D9" s="95" t="s">
        <v>71</v>
      </c>
      <c r="E9" s="95" t="s">
        <v>72</v>
      </c>
      <c r="F9" s="95" t="s">
        <v>73</v>
      </c>
      <c r="G9" s="96" t="s">
        <v>74</v>
      </c>
    </row>
    <row r="10" spans="1:7" s="8" customFormat="1" ht="236.25" customHeight="1">
      <c r="A10" s="14" t="s">
        <v>75</v>
      </c>
      <c r="B10" s="14" t="s">
        <v>76</v>
      </c>
      <c r="C10" s="95"/>
      <c r="D10" s="95"/>
      <c r="E10" s="95"/>
      <c r="F10" s="95"/>
      <c r="G10" s="96"/>
    </row>
    <row r="11" spans="1:9" s="8" customFormat="1" ht="15">
      <c r="A11" s="7">
        <v>1</v>
      </c>
      <c r="B11" s="7">
        <v>2</v>
      </c>
      <c r="C11" s="7">
        <v>3</v>
      </c>
      <c r="D11" s="7">
        <v>4</v>
      </c>
      <c r="E11" s="7">
        <v>5</v>
      </c>
      <c r="F11" s="7">
        <v>6</v>
      </c>
      <c r="G11" s="11">
        <v>7</v>
      </c>
      <c r="I11" s="79">
        <v>150000</v>
      </c>
    </row>
    <row r="12" spans="1:10" s="29" customFormat="1" ht="18.75" customHeight="1">
      <c r="A12" s="26" t="s">
        <v>77</v>
      </c>
      <c r="B12" s="27" t="s">
        <v>78</v>
      </c>
      <c r="C12" s="27"/>
      <c r="D12" s="28">
        <f>SUM(D17:D18)-D18</f>
        <v>2498718</v>
      </c>
      <c r="E12" s="28"/>
      <c r="F12" s="28">
        <f>SUM(F17:F18)-F18</f>
        <v>2159570</v>
      </c>
      <c r="G12" s="28">
        <f>SUM(G13:G18)-G18-G14-G16</f>
        <v>710383</v>
      </c>
      <c r="H12" s="80">
        <f>'[2]Місто'!$K$11-G12</f>
        <v>0</v>
      </c>
      <c r="I12" s="37">
        <f>G17</f>
        <v>415760</v>
      </c>
      <c r="J12" s="80">
        <f>'[2]Місто'!$K$18-I12</f>
        <v>0</v>
      </c>
    </row>
    <row r="13" spans="1:10" s="29" customFormat="1" ht="21" customHeight="1">
      <c r="A13" s="16" t="s">
        <v>79</v>
      </c>
      <c r="B13" s="17" t="s">
        <v>80</v>
      </c>
      <c r="C13" s="17" t="s">
        <v>81</v>
      </c>
      <c r="D13" s="21"/>
      <c r="E13" s="21"/>
      <c r="F13" s="21"/>
      <c r="G13" s="75">
        <f>'[2]Місто'!$K$13</f>
        <v>253199</v>
      </c>
      <c r="H13" s="82"/>
      <c r="J13" s="82"/>
    </row>
    <row r="14" spans="1:10" s="29" customFormat="1" ht="18" customHeight="1">
      <c r="A14" s="16"/>
      <c r="B14" s="17"/>
      <c r="C14" s="17" t="s">
        <v>84</v>
      </c>
      <c r="D14" s="21"/>
      <c r="E14" s="21"/>
      <c r="F14" s="21"/>
      <c r="G14" s="75">
        <v>183199</v>
      </c>
      <c r="H14" s="82"/>
      <c r="J14" s="82"/>
    </row>
    <row r="15" spans="1:10" s="29" customFormat="1" ht="18.75" customHeight="1">
      <c r="A15" s="16">
        <v>120201</v>
      </c>
      <c r="B15" s="17" t="s">
        <v>421</v>
      </c>
      <c r="C15" s="17" t="s">
        <v>81</v>
      </c>
      <c r="D15" s="21"/>
      <c r="E15" s="21"/>
      <c r="F15" s="21"/>
      <c r="G15" s="75">
        <f>'[2]Місто'!$K$16</f>
        <v>41424</v>
      </c>
      <c r="H15" s="82"/>
      <c r="J15" s="82"/>
    </row>
    <row r="16" spans="1:10" s="29" customFormat="1" ht="18.75" customHeight="1">
      <c r="A16" s="16"/>
      <c r="B16" s="17"/>
      <c r="C16" s="17" t="s">
        <v>84</v>
      </c>
      <c r="D16" s="21"/>
      <c r="E16" s="21"/>
      <c r="F16" s="21"/>
      <c r="G16" s="75">
        <v>41424</v>
      </c>
      <c r="H16" s="82"/>
      <c r="J16" s="82"/>
    </row>
    <row r="17" spans="1:10" s="22" customFormat="1" ht="30.75">
      <c r="A17" s="16">
        <v>150101</v>
      </c>
      <c r="B17" s="17" t="s">
        <v>82</v>
      </c>
      <c r="C17" s="17" t="s">
        <v>83</v>
      </c>
      <c r="D17" s="19">
        <v>2498718</v>
      </c>
      <c r="E17" s="20">
        <f>100-(F17/D17*100)</f>
        <v>13.572880172952694</v>
      </c>
      <c r="F17" s="19">
        <v>2159570</v>
      </c>
      <c r="G17" s="75">
        <f>'[2]Місто'!$K$19</f>
        <v>415760</v>
      </c>
      <c r="H17" s="83"/>
      <c r="J17" s="83"/>
    </row>
    <row r="18" spans="1:10" s="22" customFormat="1" ht="15.75">
      <c r="A18" s="16"/>
      <c r="B18" s="38"/>
      <c r="C18" s="17" t="s">
        <v>84</v>
      </c>
      <c r="D18" s="19"/>
      <c r="E18" s="20"/>
      <c r="F18" s="19"/>
      <c r="G18" s="75">
        <v>415760</v>
      </c>
      <c r="H18" s="83"/>
      <c r="J18" s="83"/>
    </row>
    <row r="19" spans="1:10" s="39" customFormat="1" ht="31.5">
      <c r="A19" s="26">
        <v>10</v>
      </c>
      <c r="B19" s="27" t="s">
        <v>86</v>
      </c>
      <c r="C19" s="27"/>
      <c r="D19" s="76">
        <f>D21+D23+D25+D27+D31+D33+D35+D37+D39+D41+D43+D45+D47+D49+D51+D53+D20+D30</f>
        <v>163476636</v>
      </c>
      <c r="E19" s="30"/>
      <c r="F19" s="76">
        <f>F21+F23+F25+F27+F31+F33+F35+F37+F39+F41+F43+F45+F47+F49+F51+F53+F20+F30</f>
        <v>125491473</v>
      </c>
      <c r="G19" s="76">
        <f>G21+G23+G25+G27+G31+G33+G35+G37+G39+G41+G43+G45+G47+G49+G51+G53+G20+G30+G29</f>
        <v>20224239</v>
      </c>
      <c r="H19" s="80">
        <f>'[2]Місто'!$K$39-G19</f>
        <v>0</v>
      </c>
      <c r="I19" s="78">
        <f>G35+G37+G39+G41+G43+G45+G47+G49+G51+G53</f>
        <v>10981607</v>
      </c>
      <c r="J19" s="87">
        <f>'[2]Місто'!$K$72-I19</f>
        <v>0</v>
      </c>
    </row>
    <row r="20" spans="1:10" s="29" customFormat="1" ht="21" customHeight="1">
      <c r="A20" s="16" t="s">
        <v>79</v>
      </c>
      <c r="B20" s="17" t="s">
        <v>80</v>
      </c>
      <c r="C20" s="17" t="s">
        <v>81</v>
      </c>
      <c r="D20" s="21"/>
      <c r="E20" s="21"/>
      <c r="F20" s="21"/>
      <c r="G20" s="75">
        <f>'[2]Місто'!$K$41</f>
        <v>14000</v>
      </c>
      <c r="H20" s="82"/>
      <c r="J20" s="82"/>
    </row>
    <row r="21" spans="1:10" s="22" customFormat="1" ht="15.75">
      <c r="A21" s="40" t="s">
        <v>87</v>
      </c>
      <c r="B21" s="41" t="s">
        <v>88</v>
      </c>
      <c r="C21" s="17" t="s">
        <v>81</v>
      </c>
      <c r="D21" s="19"/>
      <c r="E21" s="20"/>
      <c r="F21" s="19"/>
      <c r="G21" s="77">
        <f>'[2]Місто'!$K$43</f>
        <v>3063143</v>
      </c>
      <c r="H21" s="83"/>
      <c r="J21" s="83"/>
    </row>
    <row r="22" spans="1:10" s="22" customFormat="1" ht="15.75">
      <c r="A22" s="40"/>
      <c r="B22" s="41"/>
      <c r="C22" s="17" t="s">
        <v>84</v>
      </c>
      <c r="D22" s="19"/>
      <c r="E22" s="20"/>
      <c r="F22" s="19"/>
      <c r="G22" s="75">
        <v>1423099</v>
      </c>
      <c r="H22" s="83"/>
      <c r="J22" s="83"/>
    </row>
    <row r="23" spans="1:10" s="22" customFormat="1" ht="45.75">
      <c r="A23" s="40" t="s">
        <v>89</v>
      </c>
      <c r="B23" s="42" t="s">
        <v>90</v>
      </c>
      <c r="C23" s="17" t="s">
        <v>81</v>
      </c>
      <c r="D23" s="19"/>
      <c r="E23" s="20"/>
      <c r="F23" s="19"/>
      <c r="G23" s="75">
        <f>'[2]Місто'!$K$45</f>
        <v>5415881</v>
      </c>
      <c r="H23" s="83"/>
      <c r="J23" s="83"/>
    </row>
    <row r="24" spans="1:10" s="22" customFormat="1" ht="15.75">
      <c r="A24" s="40"/>
      <c r="B24" s="42"/>
      <c r="C24" s="17" t="s">
        <v>84</v>
      </c>
      <c r="D24" s="19"/>
      <c r="E24" s="20"/>
      <c r="F24" s="19"/>
      <c r="G24" s="77">
        <v>2258572</v>
      </c>
      <c r="H24" s="83"/>
      <c r="J24" s="83"/>
    </row>
    <row r="25" spans="1:10" s="22" customFormat="1" ht="15.75">
      <c r="A25" s="40" t="s">
        <v>13</v>
      </c>
      <c r="B25" s="42" t="s">
        <v>14</v>
      </c>
      <c r="C25" s="17" t="s">
        <v>81</v>
      </c>
      <c r="D25" s="19"/>
      <c r="E25" s="20"/>
      <c r="F25" s="19"/>
      <c r="G25" s="75">
        <f>'[2]Місто'!$K$47</f>
        <v>14800</v>
      </c>
      <c r="H25" s="83"/>
      <c r="J25" s="83"/>
    </row>
    <row r="26" spans="1:10" s="22" customFormat="1" ht="15.75">
      <c r="A26" s="40"/>
      <c r="B26" s="42"/>
      <c r="C26" s="17" t="s">
        <v>84</v>
      </c>
      <c r="D26" s="19"/>
      <c r="E26" s="20"/>
      <c r="F26" s="19"/>
      <c r="G26" s="77">
        <v>14800</v>
      </c>
      <c r="H26" s="83"/>
      <c r="J26" s="83"/>
    </row>
    <row r="27" spans="1:10" s="22" customFormat="1" ht="30.75">
      <c r="A27" s="40" t="s">
        <v>91</v>
      </c>
      <c r="B27" s="42" t="s">
        <v>92</v>
      </c>
      <c r="C27" s="17" t="s">
        <v>81</v>
      </c>
      <c r="D27" s="19"/>
      <c r="E27" s="20"/>
      <c r="F27" s="19"/>
      <c r="G27" s="75">
        <f>'[2]Місто'!$K$49</f>
        <v>151878</v>
      </c>
      <c r="H27" s="83"/>
      <c r="J27" s="83"/>
    </row>
    <row r="28" spans="1:10" s="22" customFormat="1" ht="15.75">
      <c r="A28" s="40"/>
      <c r="B28" s="42"/>
      <c r="C28" s="17" t="s">
        <v>84</v>
      </c>
      <c r="D28" s="19"/>
      <c r="E28" s="20"/>
      <c r="F28" s="19"/>
      <c r="G28" s="77">
        <v>33649</v>
      </c>
      <c r="H28" s="83"/>
      <c r="J28" s="83"/>
    </row>
    <row r="29" spans="1:10" s="22" customFormat="1" ht="15.75">
      <c r="A29" s="40" t="s">
        <v>352</v>
      </c>
      <c r="B29" s="42" t="s">
        <v>353</v>
      </c>
      <c r="C29" s="17" t="s">
        <v>81</v>
      </c>
      <c r="D29" s="19"/>
      <c r="E29" s="20"/>
      <c r="F29" s="19"/>
      <c r="G29" s="77">
        <f>'[2]Місто'!$K$51</f>
        <v>49000</v>
      </c>
      <c r="H29" s="83"/>
      <c r="J29" s="83"/>
    </row>
    <row r="30" spans="1:10" s="22" customFormat="1" ht="45.75">
      <c r="A30" s="40" t="s">
        <v>252</v>
      </c>
      <c r="B30" s="42" t="s">
        <v>253</v>
      </c>
      <c r="C30" s="17" t="s">
        <v>81</v>
      </c>
      <c r="D30" s="19"/>
      <c r="E30" s="20"/>
      <c r="F30" s="19"/>
      <c r="G30" s="43">
        <f>'[2]Місто'!$K$52</f>
        <v>400000</v>
      </c>
      <c r="H30" s="83"/>
      <c r="J30" s="83"/>
    </row>
    <row r="31" spans="1:10" s="22" customFormat="1" ht="30.75">
      <c r="A31" s="40" t="s">
        <v>109</v>
      </c>
      <c r="B31" s="42" t="s">
        <v>110</v>
      </c>
      <c r="C31" s="17" t="s">
        <v>81</v>
      </c>
      <c r="D31" s="19"/>
      <c r="E31" s="20"/>
      <c r="F31" s="19"/>
      <c r="G31" s="21">
        <f>'[2]Місто'!$K$53</f>
        <v>94430</v>
      </c>
      <c r="H31" s="83"/>
      <c r="J31" s="83"/>
    </row>
    <row r="32" spans="1:10" s="22" customFormat="1" ht="15.75">
      <c r="A32" s="40"/>
      <c r="B32" s="42"/>
      <c r="C32" s="17" t="s">
        <v>84</v>
      </c>
      <c r="D32" s="19"/>
      <c r="E32" s="20"/>
      <c r="F32" s="19"/>
      <c r="G32" s="43">
        <v>17430</v>
      </c>
      <c r="H32" s="83"/>
      <c r="J32" s="83"/>
    </row>
    <row r="33" spans="1:10" s="22" customFormat="1" ht="30.75">
      <c r="A33" s="40" t="s">
        <v>32</v>
      </c>
      <c r="B33" s="42" t="s">
        <v>33</v>
      </c>
      <c r="C33" s="17" t="s">
        <v>81</v>
      </c>
      <c r="D33" s="19"/>
      <c r="E33" s="20"/>
      <c r="F33" s="19"/>
      <c r="G33" s="21">
        <f>'[2]Місто'!$K$67</f>
        <v>39500</v>
      </c>
      <c r="H33" s="83"/>
      <c r="J33" s="83"/>
    </row>
    <row r="34" spans="1:10" s="22" customFormat="1" ht="15.75">
      <c r="A34" s="40"/>
      <c r="B34" s="42"/>
      <c r="C34" s="17" t="s">
        <v>84</v>
      </c>
      <c r="D34" s="19"/>
      <c r="E34" s="20"/>
      <c r="F34" s="19"/>
      <c r="G34" s="43">
        <v>39500</v>
      </c>
      <c r="H34" s="83"/>
      <c r="J34" s="83"/>
    </row>
    <row r="35" spans="1:10" s="22" customFormat="1" ht="30.75">
      <c r="A35" s="44">
        <v>150101</v>
      </c>
      <c r="B35" s="45" t="s">
        <v>82</v>
      </c>
      <c r="C35" s="45" t="s">
        <v>95</v>
      </c>
      <c r="D35" s="46">
        <v>6379139</v>
      </c>
      <c r="E35" s="47">
        <f>100-(F35/D35*100)</f>
        <v>67.11595404959823</v>
      </c>
      <c r="F35" s="19">
        <v>2097719</v>
      </c>
      <c r="G35" s="21">
        <f>831335+266384+134558</f>
        <v>1232277</v>
      </c>
      <c r="H35" s="83"/>
      <c r="J35" s="83"/>
    </row>
    <row r="36" spans="1:10" s="22" customFormat="1" ht="15.75">
      <c r="A36" s="48"/>
      <c r="B36" s="49"/>
      <c r="C36" s="50" t="s">
        <v>84</v>
      </c>
      <c r="D36" s="51"/>
      <c r="E36" s="52"/>
      <c r="F36" s="53"/>
      <c r="G36" s="21">
        <v>266384</v>
      </c>
      <c r="H36" s="83"/>
      <c r="J36" s="83"/>
    </row>
    <row r="37" spans="1:10" s="22" customFormat="1" ht="30.75">
      <c r="A37" s="48">
        <v>150101</v>
      </c>
      <c r="B37" s="50" t="s">
        <v>82</v>
      </c>
      <c r="C37" s="50" t="s">
        <v>96</v>
      </c>
      <c r="D37" s="51">
        <v>9880230</v>
      </c>
      <c r="E37" s="52">
        <f>100-(F37/D37*100)</f>
        <v>13.027965948161125</v>
      </c>
      <c r="F37" s="53">
        <v>8593037</v>
      </c>
      <c r="G37" s="21">
        <v>1704</v>
      </c>
      <c r="H37" s="83"/>
      <c r="J37" s="83"/>
    </row>
    <row r="38" spans="1:10" s="22" customFormat="1" ht="15.75">
      <c r="A38" s="54"/>
      <c r="B38" s="55"/>
      <c r="C38" s="55" t="s">
        <v>84</v>
      </c>
      <c r="D38" s="56"/>
      <c r="E38" s="52"/>
      <c r="F38" s="19"/>
      <c r="G38" s="21">
        <v>1704</v>
      </c>
      <c r="H38" s="83"/>
      <c r="J38" s="83"/>
    </row>
    <row r="39" spans="1:10" s="59" customFormat="1" ht="60.75">
      <c r="A39" s="57">
        <v>150101</v>
      </c>
      <c r="B39" s="25" t="s">
        <v>82</v>
      </c>
      <c r="C39" s="25" t="s">
        <v>97</v>
      </c>
      <c r="D39" s="21">
        <v>619012</v>
      </c>
      <c r="E39" s="52">
        <f>100-(F39/D39*100)</f>
        <v>3.225624058984323</v>
      </c>
      <c r="F39" s="21">
        <v>599045</v>
      </c>
      <c r="G39" s="21">
        <f>418619+180426</f>
        <v>599045</v>
      </c>
      <c r="H39" s="84"/>
      <c r="J39" s="84"/>
    </row>
    <row r="40" spans="1:10" s="22" customFormat="1" ht="15.75">
      <c r="A40" s="54"/>
      <c r="B40" s="55"/>
      <c r="C40" s="55" t="s">
        <v>84</v>
      </c>
      <c r="D40" s="56"/>
      <c r="E40" s="52"/>
      <c r="F40" s="19"/>
      <c r="G40" s="21">
        <v>180426</v>
      </c>
      <c r="H40" s="83"/>
      <c r="J40" s="83"/>
    </row>
    <row r="41" spans="1:10" s="22" customFormat="1" ht="45.75">
      <c r="A41" s="57">
        <v>150101</v>
      </c>
      <c r="B41" s="25" t="s">
        <v>82</v>
      </c>
      <c r="C41" s="25" t="s">
        <v>101</v>
      </c>
      <c r="D41" s="21">
        <v>1001743</v>
      </c>
      <c r="E41" s="58">
        <f>100-(F41/D41*100)</f>
        <v>75.90310089513977</v>
      </c>
      <c r="F41" s="21">
        <v>241389</v>
      </c>
      <c r="G41" s="21">
        <f>320825+55122-134558</f>
        <v>241389</v>
      </c>
      <c r="H41" s="83"/>
      <c r="J41" s="83"/>
    </row>
    <row r="42" spans="1:10" s="22" customFormat="1" ht="15.75">
      <c r="A42" s="57"/>
      <c r="B42" s="25"/>
      <c r="C42" s="25" t="s">
        <v>84</v>
      </c>
      <c r="D42" s="21"/>
      <c r="E42" s="58"/>
      <c r="F42" s="21"/>
      <c r="G42" s="21">
        <v>55122</v>
      </c>
      <c r="H42" s="83"/>
      <c r="J42" s="83"/>
    </row>
    <row r="43" spans="1:10" s="22" customFormat="1" ht="45.75">
      <c r="A43" s="16">
        <v>150101</v>
      </c>
      <c r="B43" s="17" t="s">
        <v>82</v>
      </c>
      <c r="C43" s="17" t="s">
        <v>259</v>
      </c>
      <c r="D43" s="19">
        <v>18053400</v>
      </c>
      <c r="E43" s="58">
        <f>100-(F43/D43*100)</f>
        <v>38.371918862928865</v>
      </c>
      <c r="F43" s="21">
        <v>11125964</v>
      </c>
      <c r="G43" s="21">
        <f>2031697+2214185</f>
        <v>4245882</v>
      </c>
      <c r="H43" s="83"/>
      <c r="J43" s="83"/>
    </row>
    <row r="44" spans="1:10" s="22" customFormat="1" ht="15.75">
      <c r="A44" s="16"/>
      <c r="B44" s="17"/>
      <c r="C44" s="17" t="s">
        <v>84</v>
      </c>
      <c r="D44" s="19"/>
      <c r="E44" s="58"/>
      <c r="F44" s="19"/>
      <c r="G44" s="21">
        <v>2214185</v>
      </c>
      <c r="H44" s="83"/>
      <c r="J44" s="83"/>
    </row>
    <row r="45" spans="1:10" s="22" customFormat="1" ht="45.75">
      <c r="A45" s="16">
        <v>150101</v>
      </c>
      <c r="B45" s="17" t="s">
        <v>82</v>
      </c>
      <c r="C45" s="17" t="s">
        <v>260</v>
      </c>
      <c r="D45" s="19">
        <v>4860000</v>
      </c>
      <c r="E45" s="58">
        <f>100-(F45/D45*100)</f>
        <v>3.0492181069958946</v>
      </c>
      <c r="F45" s="19">
        <v>4711808</v>
      </c>
      <c r="G45" s="21">
        <v>754</v>
      </c>
      <c r="H45" s="83"/>
      <c r="J45" s="83"/>
    </row>
    <row r="46" spans="1:10" s="22" customFormat="1" ht="15.75">
      <c r="A46" s="16"/>
      <c r="B46" s="17"/>
      <c r="C46" s="17" t="s">
        <v>84</v>
      </c>
      <c r="D46" s="19"/>
      <c r="E46" s="20"/>
      <c r="F46" s="19"/>
      <c r="G46" s="21">
        <v>754</v>
      </c>
      <c r="H46" s="83"/>
      <c r="J46" s="83"/>
    </row>
    <row r="47" spans="1:10" s="59" customFormat="1" ht="30.75">
      <c r="A47" s="57">
        <v>150101</v>
      </c>
      <c r="B47" s="25" t="s">
        <v>82</v>
      </c>
      <c r="C47" s="17" t="s">
        <v>261</v>
      </c>
      <c r="D47" s="21">
        <v>906755</v>
      </c>
      <c r="E47" s="58">
        <f>100-(F47/D47*100)</f>
        <v>33.15052026181273</v>
      </c>
      <c r="F47" s="21">
        <v>606161</v>
      </c>
      <c r="G47" s="21">
        <v>299406</v>
      </c>
      <c r="H47" s="84"/>
      <c r="J47" s="84"/>
    </row>
    <row r="48" spans="1:10" s="22" customFormat="1" ht="15.75">
      <c r="A48" s="16"/>
      <c r="B48" s="17"/>
      <c r="C48" s="17" t="s">
        <v>84</v>
      </c>
      <c r="D48" s="19"/>
      <c r="E48" s="58"/>
      <c r="F48" s="19"/>
      <c r="G48" s="21">
        <v>299406</v>
      </c>
      <c r="H48" s="83"/>
      <c r="J48" s="83"/>
    </row>
    <row r="49" spans="1:10" s="22" customFormat="1" ht="30.75">
      <c r="A49" s="16">
        <v>150101</v>
      </c>
      <c r="B49" s="17" t="s">
        <v>82</v>
      </c>
      <c r="C49" s="17" t="s">
        <v>262</v>
      </c>
      <c r="D49" s="19">
        <v>7650634</v>
      </c>
      <c r="E49" s="58">
        <f>100-(F49/D49*100)</f>
        <v>23.457716053336227</v>
      </c>
      <c r="F49" s="19">
        <v>5855970</v>
      </c>
      <c r="G49" s="21">
        <f>2639632+305673</f>
        <v>2945305</v>
      </c>
      <c r="H49" s="83"/>
      <c r="J49" s="83"/>
    </row>
    <row r="50" spans="1:10" s="22" customFormat="1" ht="16.5" customHeight="1">
      <c r="A50" s="16"/>
      <c r="B50" s="17"/>
      <c r="C50" s="17" t="s">
        <v>84</v>
      </c>
      <c r="D50" s="19"/>
      <c r="E50" s="58"/>
      <c r="F50" s="19"/>
      <c r="G50" s="21">
        <v>305673</v>
      </c>
      <c r="H50" s="83"/>
      <c r="J50" s="83"/>
    </row>
    <row r="51" spans="1:10" s="59" customFormat="1" ht="30.75">
      <c r="A51" s="57">
        <v>150101</v>
      </c>
      <c r="B51" s="25" t="s">
        <v>82</v>
      </c>
      <c r="C51" s="17" t="s">
        <v>156</v>
      </c>
      <c r="D51" s="21">
        <v>99995818</v>
      </c>
      <c r="E51" s="58">
        <f>100-(F51/D51*100)</f>
        <v>21.466350722787226</v>
      </c>
      <c r="F51" s="21">
        <v>78530365</v>
      </c>
      <c r="G51" s="21">
        <f>1000000+65845</f>
        <v>1065845</v>
      </c>
      <c r="H51" s="84"/>
      <c r="J51" s="84"/>
    </row>
    <row r="52" spans="1:10" s="59" customFormat="1" ht="15.75">
      <c r="A52" s="57"/>
      <c r="B52" s="25"/>
      <c r="C52" s="17" t="s">
        <v>84</v>
      </c>
      <c r="D52" s="21"/>
      <c r="E52" s="58"/>
      <c r="F52" s="21"/>
      <c r="G52" s="21">
        <v>65845</v>
      </c>
      <c r="H52" s="84"/>
      <c r="J52" s="84"/>
    </row>
    <row r="53" spans="1:10" s="59" customFormat="1" ht="30.75">
      <c r="A53" s="57">
        <v>150101</v>
      </c>
      <c r="B53" s="25" t="s">
        <v>82</v>
      </c>
      <c r="C53" s="17" t="s">
        <v>119</v>
      </c>
      <c r="D53" s="21">
        <v>14129905</v>
      </c>
      <c r="E53" s="58">
        <f>100-(F53/D53*100)</f>
        <v>7.076409926322938</v>
      </c>
      <c r="F53" s="21">
        <v>13130015</v>
      </c>
      <c r="G53" s="21">
        <v>350000</v>
      </c>
      <c r="H53" s="84"/>
      <c r="J53" s="84"/>
    </row>
    <row r="54" spans="1:10" s="29" customFormat="1" ht="31.5">
      <c r="A54" s="26">
        <v>14</v>
      </c>
      <c r="B54" s="27" t="s">
        <v>263</v>
      </c>
      <c r="C54" s="27"/>
      <c r="D54" s="28">
        <f>SUM(D55:D96)-D57-D59-D61-D63-D65-D69-D71-D74-D76-D80-D87-D93-D95-D89</f>
        <v>76234965</v>
      </c>
      <c r="E54" s="28"/>
      <c r="F54" s="28">
        <f>SUM(F55:F96)-F57-F59-F61-F63-F65-F69-F71-F74-F76-F80-F87-F93-F95-F89</f>
        <v>52195862</v>
      </c>
      <c r="G54" s="28">
        <f>SUM(G55:G96)-G57-G59-G61-G63-G65-G69-G71-G74-G76-G80-G87-G93-G95-G89</f>
        <v>22491226</v>
      </c>
      <c r="H54" s="80">
        <f>'[2]Місто'!$K$82-G54</f>
        <v>0</v>
      </c>
      <c r="I54" s="37">
        <f>G68+G70+G72+G73+G75+G77+G78+G79+G81+G86+G88+G90+G91+G92+G94+G96</f>
        <v>11179599</v>
      </c>
      <c r="J54" s="80">
        <f>'[2]Місто'!$K$98-I54</f>
        <v>0</v>
      </c>
    </row>
    <row r="55" spans="1:10" s="29" customFormat="1" ht="21" customHeight="1">
      <c r="A55" s="16" t="s">
        <v>79</v>
      </c>
      <c r="B55" s="17" t="s">
        <v>80</v>
      </c>
      <c r="C55" s="17" t="s">
        <v>81</v>
      </c>
      <c r="D55" s="21"/>
      <c r="E55" s="21"/>
      <c r="F55" s="21"/>
      <c r="G55" s="75">
        <f>'[2]Місто'!$K$84</f>
        <v>7000</v>
      </c>
      <c r="H55" s="82"/>
      <c r="J55" s="82"/>
    </row>
    <row r="56" spans="1:10" s="22" customFormat="1" ht="15.75">
      <c r="A56" s="16" t="s">
        <v>264</v>
      </c>
      <c r="B56" s="17" t="s">
        <v>265</v>
      </c>
      <c r="C56" s="17" t="s">
        <v>81</v>
      </c>
      <c r="D56" s="19"/>
      <c r="E56" s="20"/>
      <c r="F56" s="19"/>
      <c r="G56" s="43">
        <f>'[2]Місто'!$K$86</f>
        <v>4494364</v>
      </c>
      <c r="H56" s="83"/>
      <c r="J56" s="83"/>
    </row>
    <row r="57" spans="1:10" s="22" customFormat="1" ht="15.75">
      <c r="A57" s="16"/>
      <c r="B57" s="17"/>
      <c r="C57" s="25" t="s">
        <v>84</v>
      </c>
      <c r="D57" s="19"/>
      <c r="E57" s="20"/>
      <c r="F57" s="19"/>
      <c r="G57" s="21">
        <v>1728089</v>
      </c>
      <c r="H57" s="83"/>
      <c r="J57" s="83"/>
    </row>
    <row r="58" spans="1:10" s="22" customFormat="1" ht="15.75">
      <c r="A58" s="16" t="s">
        <v>266</v>
      </c>
      <c r="B58" s="17" t="s">
        <v>267</v>
      </c>
      <c r="C58" s="17" t="s">
        <v>81</v>
      </c>
      <c r="D58" s="19"/>
      <c r="E58" s="20"/>
      <c r="F58" s="19"/>
      <c r="G58" s="21">
        <f>'[2]Місто'!$K$88</f>
        <v>699466</v>
      </c>
      <c r="H58" s="83"/>
      <c r="J58" s="83"/>
    </row>
    <row r="59" spans="1:10" s="22" customFormat="1" ht="15.75">
      <c r="A59" s="16"/>
      <c r="B59" s="17"/>
      <c r="C59" s="25" t="s">
        <v>84</v>
      </c>
      <c r="D59" s="19"/>
      <c r="E59" s="20"/>
      <c r="F59" s="19"/>
      <c r="G59" s="21">
        <v>605020</v>
      </c>
      <c r="H59" s="83"/>
      <c r="J59" s="83"/>
    </row>
    <row r="60" spans="1:10" s="22" customFormat="1" ht="30.75" customHeight="1">
      <c r="A60" s="16" t="s">
        <v>268</v>
      </c>
      <c r="B60" s="17" t="s">
        <v>269</v>
      </c>
      <c r="C60" s="17" t="s">
        <v>81</v>
      </c>
      <c r="D60" s="19"/>
      <c r="E60" s="20"/>
      <c r="F60" s="19"/>
      <c r="G60" s="21">
        <f>'[2]Місто'!$K$89</f>
        <v>668216</v>
      </c>
      <c r="H60" s="83"/>
      <c r="J60" s="83"/>
    </row>
    <row r="61" spans="1:10" s="22" customFormat="1" ht="15.75">
      <c r="A61" s="16"/>
      <c r="B61" s="17"/>
      <c r="C61" s="25" t="s">
        <v>84</v>
      </c>
      <c r="D61" s="19"/>
      <c r="E61" s="20"/>
      <c r="F61" s="19"/>
      <c r="G61" s="21">
        <v>664268</v>
      </c>
      <c r="H61" s="83"/>
      <c r="J61" s="83"/>
    </row>
    <row r="62" spans="1:10" s="22" customFormat="1" ht="15.75">
      <c r="A62" s="16" t="s">
        <v>422</v>
      </c>
      <c r="B62" s="17" t="s">
        <v>423</v>
      </c>
      <c r="C62" s="17" t="s">
        <v>81</v>
      </c>
      <c r="D62" s="19"/>
      <c r="E62" s="20"/>
      <c r="F62" s="19"/>
      <c r="G62" s="21">
        <f>'[2]Місто'!$K$91</f>
        <v>6000</v>
      </c>
      <c r="H62" s="83"/>
      <c r="J62" s="83"/>
    </row>
    <row r="63" spans="1:10" s="22" customFormat="1" ht="15.75">
      <c r="A63" s="16"/>
      <c r="B63" s="17"/>
      <c r="C63" s="25" t="s">
        <v>84</v>
      </c>
      <c r="D63" s="19"/>
      <c r="E63" s="20"/>
      <c r="F63" s="19"/>
      <c r="G63" s="21">
        <f>'[2]Місто'!$K$91</f>
        <v>6000</v>
      </c>
      <c r="H63" s="83"/>
      <c r="J63" s="83"/>
    </row>
    <row r="64" spans="1:10" s="22" customFormat="1" ht="39" customHeight="1">
      <c r="A64" s="60" t="s">
        <v>102</v>
      </c>
      <c r="B64" s="17" t="s">
        <v>103</v>
      </c>
      <c r="C64" s="17" t="s">
        <v>81</v>
      </c>
      <c r="D64" s="19"/>
      <c r="E64" s="20"/>
      <c r="F64" s="19"/>
      <c r="G64" s="21">
        <f>'[2]Місто'!$K$93</f>
        <v>5369781</v>
      </c>
      <c r="H64" s="83"/>
      <c r="J64" s="83"/>
    </row>
    <row r="65" spans="1:10" s="22" customFormat="1" ht="15.75">
      <c r="A65" s="16"/>
      <c r="B65" s="17"/>
      <c r="C65" s="25" t="s">
        <v>84</v>
      </c>
      <c r="D65" s="19"/>
      <c r="E65" s="20"/>
      <c r="F65" s="19"/>
      <c r="G65" s="21">
        <v>832578</v>
      </c>
      <c r="H65" s="83"/>
      <c r="J65" s="83"/>
    </row>
    <row r="66" spans="1:10" s="22" customFormat="1" ht="15.75">
      <c r="A66" s="16">
        <v>81002</v>
      </c>
      <c r="B66" s="17" t="s">
        <v>113</v>
      </c>
      <c r="C66" s="17" t="s">
        <v>81</v>
      </c>
      <c r="D66" s="19"/>
      <c r="E66" s="20"/>
      <c r="F66" s="19"/>
      <c r="G66" s="21">
        <f>'[2]Місто'!$K$94</f>
        <v>11600</v>
      </c>
      <c r="H66" s="83"/>
      <c r="J66" s="83"/>
    </row>
    <row r="67" spans="1:10" s="22" customFormat="1" ht="45.75">
      <c r="A67" s="16">
        <v>81003</v>
      </c>
      <c r="B67" s="17" t="s">
        <v>258</v>
      </c>
      <c r="C67" s="17" t="s">
        <v>81</v>
      </c>
      <c r="D67" s="19"/>
      <c r="E67" s="20"/>
      <c r="F67" s="19"/>
      <c r="G67" s="21">
        <f>'[2]Місто'!$K$95</f>
        <v>55200</v>
      </c>
      <c r="H67" s="83"/>
      <c r="J67" s="83"/>
    </row>
    <row r="68" spans="1:10" s="22" customFormat="1" ht="45.75">
      <c r="A68" s="57">
        <v>150101</v>
      </c>
      <c r="B68" s="25" t="s">
        <v>82</v>
      </c>
      <c r="C68" s="25" t="s">
        <v>270</v>
      </c>
      <c r="D68" s="21">
        <v>8930226</v>
      </c>
      <c r="E68" s="58">
        <f>100-(F68/D68*100)</f>
        <v>34.8885683296257</v>
      </c>
      <c r="F68" s="21">
        <v>5814598</v>
      </c>
      <c r="G68" s="21">
        <f>858524</f>
        <v>858524</v>
      </c>
      <c r="H68" s="83"/>
      <c r="J68" s="83"/>
    </row>
    <row r="69" spans="1:10" s="22" customFormat="1" ht="15.75">
      <c r="A69" s="57"/>
      <c r="B69" s="25"/>
      <c r="C69" s="25" t="s">
        <v>84</v>
      </c>
      <c r="D69" s="21"/>
      <c r="E69" s="58"/>
      <c r="F69" s="21"/>
      <c r="G69" s="21">
        <v>858524</v>
      </c>
      <c r="H69" s="83"/>
      <c r="J69" s="83"/>
    </row>
    <row r="70" spans="1:10" s="59" customFormat="1" ht="59.25" customHeight="1">
      <c r="A70" s="57">
        <v>150101</v>
      </c>
      <c r="B70" s="25" t="s">
        <v>82</v>
      </c>
      <c r="C70" s="25" t="s">
        <v>271</v>
      </c>
      <c r="D70" s="21">
        <v>8142051</v>
      </c>
      <c r="E70" s="20">
        <f>100-(F70/D70*100)</f>
        <v>81.20555864855183</v>
      </c>
      <c r="F70" s="21">
        <v>1530253</v>
      </c>
      <c r="G70" s="21">
        <f>1279910+251073-730</f>
        <v>1530253</v>
      </c>
      <c r="H70" s="84"/>
      <c r="J70" s="84"/>
    </row>
    <row r="71" spans="1:10" s="59" customFormat="1" ht="15.75">
      <c r="A71" s="57"/>
      <c r="B71" s="25"/>
      <c r="C71" s="25" t="s">
        <v>84</v>
      </c>
      <c r="D71" s="21"/>
      <c r="E71" s="20"/>
      <c r="F71" s="21"/>
      <c r="G71" s="21">
        <v>251073</v>
      </c>
      <c r="H71" s="84"/>
      <c r="J71" s="84"/>
    </row>
    <row r="72" spans="1:10" s="59" customFormat="1" ht="64.5" customHeight="1">
      <c r="A72" s="57">
        <v>150101</v>
      </c>
      <c r="B72" s="25" t="s">
        <v>82</v>
      </c>
      <c r="C72" s="25" t="s">
        <v>123</v>
      </c>
      <c r="D72" s="21">
        <v>7053562</v>
      </c>
      <c r="E72" s="20">
        <f>100-(F72/D72*100)</f>
        <v>84.4301219724162</v>
      </c>
      <c r="F72" s="21">
        <v>1098231</v>
      </c>
      <c r="G72" s="21">
        <v>1098231</v>
      </c>
      <c r="H72" s="84"/>
      <c r="J72" s="84"/>
    </row>
    <row r="73" spans="1:10" s="59" customFormat="1" ht="60.75">
      <c r="A73" s="57">
        <v>150101</v>
      </c>
      <c r="B73" s="25" t="s">
        <v>82</v>
      </c>
      <c r="C73" s="25" t="s">
        <v>350</v>
      </c>
      <c r="D73" s="21">
        <v>27395310</v>
      </c>
      <c r="E73" s="20">
        <f>100-(F73/D73*100)</f>
        <v>2.9271762210392893</v>
      </c>
      <c r="F73" s="21">
        <v>26593401</v>
      </c>
      <c r="G73" s="21">
        <f>100000+200000</f>
        <v>300000</v>
      </c>
      <c r="H73" s="84"/>
      <c r="J73" s="84"/>
    </row>
    <row r="74" spans="1:10" s="59" customFormat="1" ht="15.75">
      <c r="A74" s="57"/>
      <c r="B74" s="25"/>
      <c r="C74" s="25" t="s">
        <v>84</v>
      </c>
      <c r="D74" s="21"/>
      <c r="E74" s="20"/>
      <c r="F74" s="21"/>
      <c r="G74" s="21">
        <v>200000</v>
      </c>
      <c r="H74" s="84"/>
      <c r="J74" s="84"/>
    </row>
    <row r="75" spans="1:10" s="59" customFormat="1" ht="60.75">
      <c r="A75" s="57">
        <v>150101</v>
      </c>
      <c r="B75" s="25" t="s">
        <v>82</v>
      </c>
      <c r="C75" s="25" t="s">
        <v>398</v>
      </c>
      <c r="D75" s="21">
        <v>3575299</v>
      </c>
      <c r="E75" s="20">
        <f>100-(F75/D75*100)</f>
        <v>35.42973608640844</v>
      </c>
      <c r="F75" s="21">
        <v>2308580</v>
      </c>
      <c r="G75" s="21">
        <f>1000000+17862</f>
        <v>1017862</v>
      </c>
      <c r="H75" s="84"/>
      <c r="J75" s="84"/>
    </row>
    <row r="76" spans="1:10" s="59" customFormat="1" ht="15.75">
      <c r="A76" s="57"/>
      <c r="B76" s="25"/>
      <c r="C76" s="25" t="s">
        <v>84</v>
      </c>
      <c r="D76" s="21"/>
      <c r="E76" s="20"/>
      <c r="F76" s="21"/>
      <c r="G76" s="21">
        <v>17862</v>
      </c>
      <c r="H76" s="84"/>
      <c r="J76" s="84"/>
    </row>
    <row r="77" spans="1:10" s="59" customFormat="1" ht="45.75">
      <c r="A77" s="57">
        <v>150101</v>
      </c>
      <c r="B77" s="25" t="s">
        <v>82</v>
      </c>
      <c r="C77" s="25" t="s">
        <v>10</v>
      </c>
      <c r="D77" s="21">
        <v>5540750</v>
      </c>
      <c r="E77" s="20">
        <f>100-(F77/D77*100)</f>
        <v>89.19471190723277</v>
      </c>
      <c r="F77" s="21">
        <v>598694</v>
      </c>
      <c r="G77" s="21">
        <v>598694</v>
      </c>
      <c r="H77" s="84"/>
      <c r="J77" s="84"/>
    </row>
    <row r="78" spans="1:10" s="59" customFormat="1" ht="45.75">
      <c r="A78" s="57">
        <v>150101</v>
      </c>
      <c r="B78" s="25" t="s">
        <v>82</v>
      </c>
      <c r="C78" s="25" t="s">
        <v>16</v>
      </c>
      <c r="D78" s="21">
        <v>2351685</v>
      </c>
      <c r="E78" s="20">
        <f>100-(F78/D78*100)</f>
        <v>8.038619117781508</v>
      </c>
      <c r="F78" s="21">
        <v>2162642</v>
      </c>
      <c r="G78" s="21">
        <v>1162642</v>
      </c>
      <c r="H78" s="84"/>
      <c r="J78" s="84"/>
    </row>
    <row r="79" spans="1:10" s="59" customFormat="1" ht="30.75">
      <c r="A79" s="57">
        <v>150101</v>
      </c>
      <c r="B79" s="25" t="s">
        <v>82</v>
      </c>
      <c r="C79" s="25" t="s">
        <v>342</v>
      </c>
      <c r="D79" s="21">
        <v>2581403</v>
      </c>
      <c r="E79" s="20">
        <f>100-(F79/D79*100)</f>
        <v>7.747724783770678</v>
      </c>
      <c r="F79" s="21">
        <v>2381403</v>
      </c>
      <c r="G79" s="21">
        <f>11735+1000000+730+99820</f>
        <v>1112285</v>
      </c>
      <c r="H79" s="84"/>
      <c r="J79" s="84"/>
    </row>
    <row r="80" spans="1:10" s="59" customFormat="1" ht="15.75">
      <c r="A80" s="57"/>
      <c r="B80" s="25"/>
      <c r="C80" s="25" t="s">
        <v>84</v>
      </c>
      <c r="D80" s="21"/>
      <c r="E80" s="20"/>
      <c r="F80" s="21"/>
      <c r="G80" s="21">
        <v>11735</v>
      </c>
      <c r="H80" s="84"/>
      <c r="J80" s="84"/>
    </row>
    <row r="81" spans="1:10" s="59" customFormat="1" ht="74.25" customHeight="1">
      <c r="A81" s="57">
        <v>150101</v>
      </c>
      <c r="B81" s="25" t="s">
        <v>82</v>
      </c>
      <c r="C81" s="25" t="s">
        <v>15</v>
      </c>
      <c r="D81" s="21">
        <v>1801032</v>
      </c>
      <c r="E81" s="20">
        <f>100-(F81/D81*100)</f>
        <v>8.126396421607168</v>
      </c>
      <c r="F81" s="21">
        <v>1654673</v>
      </c>
      <c r="G81" s="21">
        <v>723448</v>
      </c>
      <c r="H81" s="84"/>
      <c r="J81" s="84"/>
    </row>
    <row r="82" spans="1:10" s="59" customFormat="1" ht="15.75" hidden="1">
      <c r="A82" s="57"/>
      <c r="B82" s="25"/>
      <c r="C82" s="17"/>
      <c r="D82" s="21"/>
      <c r="E82" s="20"/>
      <c r="F82" s="21"/>
      <c r="G82" s="21"/>
      <c r="H82" s="84"/>
      <c r="J82" s="84"/>
    </row>
    <row r="83" spans="1:10" s="59" customFormat="1" ht="15.75" hidden="1">
      <c r="A83" s="57"/>
      <c r="B83" s="25"/>
      <c r="C83" s="17"/>
      <c r="D83" s="21"/>
      <c r="E83" s="20"/>
      <c r="F83" s="21"/>
      <c r="G83" s="21"/>
      <c r="H83" s="84"/>
      <c r="J83" s="84"/>
    </row>
    <row r="84" spans="1:10" s="59" customFormat="1" ht="15.75" hidden="1">
      <c r="A84" s="57"/>
      <c r="B84" s="25"/>
      <c r="C84" s="17"/>
      <c r="D84" s="21"/>
      <c r="E84" s="20"/>
      <c r="F84" s="21"/>
      <c r="G84" s="21"/>
      <c r="H84" s="84"/>
      <c r="J84" s="84"/>
    </row>
    <row r="85" spans="1:10" s="59" customFormat="1" ht="15.75" hidden="1">
      <c r="A85" s="57"/>
      <c r="B85" s="25"/>
      <c r="C85" s="25"/>
      <c r="D85" s="21"/>
      <c r="E85" s="20"/>
      <c r="F85" s="21"/>
      <c r="G85" s="21"/>
      <c r="H85" s="84"/>
      <c r="J85" s="84"/>
    </row>
    <row r="86" spans="1:10" s="59" customFormat="1" ht="45.75">
      <c r="A86" s="57">
        <v>150101</v>
      </c>
      <c r="B86" s="25" t="s">
        <v>82</v>
      </c>
      <c r="C86" s="25" t="s">
        <v>400</v>
      </c>
      <c r="D86" s="21">
        <v>320647</v>
      </c>
      <c r="E86" s="20">
        <f>100-(F86/D86*100)</f>
        <v>41.37727781641494</v>
      </c>
      <c r="F86" s="21">
        <v>187972</v>
      </c>
      <c r="G86" s="21">
        <f>86968+200825-99821</f>
        <v>187972</v>
      </c>
      <c r="H86" s="84"/>
      <c r="J86" s="84"/>
    </row>
    <row r="87" spans="1:10" s="59" customFormat="1" ht="15.75">
      <c r="A87" s="57"/>
      <c r="B87" s="25"/>
      <c r="C87" s="25" t="s">
        <v>84</v>
      </c>
      <c r="D87" s="21"/>
      <c r="E87" s="20"/>
      <c r="F87" s="21"/>
      <c r="G87" s="21">
        <v>86968</v>
      </c>
      <c r="H87" s="84"/>
      <c r="J87" s="84"/>
    </row>
    <row r="88" spans="1:10" s="59" customFormat="1" ht="70.5" customHeight="1">
      <c r="A88" s="57">
        <v>150101</v>
      </c>
      <c r="B88" s="25" t="s">
        <v>82</v>
      </c>
      <c r="C88" s="25" t="s">
        <v>407</v>
      </c>
      <c r="D88" s="21">
        <v>300000</v>
      </c>
      <c r="E88" s="20"/>
      <c r="F88" s="21">
        <v>300000</v>
      </c>
      <c r="G88" s="21">
        <v>20000</v>
      </c>
      <c r="H88" s="84"/>
      <c r="J88" s="84"/>
    </row>
    <row r="89" spans="1:10" s="59" customFormat="1" ht="15.75">
      <c r="A89" s="57"/>
      <c r="B89" s="25"/>
      <c r="C89" s="25" t="s">
        <v>84</v>
      </c>
      <c r="D89" s="21"/>
      <c r="E89" s="20"/>
      <c r="F89" s="21"/>
      <c r="G89" s="21">
        <v>20000</v>
      </c>
      <c r="H89" s="84"/>
      <c r="J89" s="84"/>
    </row>
    <row r="90" spans="1:10" s="59" customFormat="1" ht="45.75">
      <c r="A90" s="57">
        <v>150101</v>
      </c>
      <c r="B90" s="25" t="s">
        <v>82</v>
      </c>
      <c r="C90" s="25" t="s">
        <v>412</v>
      </c>
      <c r="D90" s="21">
        <v>185000</v>
      </c>
      <c r="E90" s="20">
        <f>100-(F90/D90*100)</f>
        <v>65.40054054054053</v>
      </c>
      <c r="F90" s="21">
        <v>64009</v>
      </c>
      <c r="G90" s="21">
        <f>64008+1</f>
        <v>64009</v>
      </c>
      <c r="H90" s="84"/>
      <c r="J90" s="84"/>
    </row>
    <row r="91" spans="1:10" s="59" customFormat="1" ht="45.75">
      <c r="A91" s="57">
        <v>150101</v>
      </c>
      <c r="B91" s="25" t="s">
        <v>82</v>
      </c>
      <c r="C91" s="25" t="s">
        <v>211</v>
      </c>
      <c r="D91" s="21">
        <v>4431452</v>
      </c>
      <c r="E91" s="58">
        <f>100-(F91/D91*100)</f>
        <v>3.599790768353131</v>
      </c>
      <c r="F91" s="21">
        <v>4271929</v>
      </c>
      <c r="G91" s="21">
        <v>19320</v>
      </c>
      <c r="H91" s="84"/>
      <c r="J91" s="84"/>
    </row>
    <row r="92" spans="1:10" s="59" customFormat="1" ht="45.75">
      <c r="A92" s="57">
        <v>150101</v>
      </c>
      <c r="B92" s="25" t="s">
        <v>82</v>
      </c>
      <c r="C92" s="25" t="s">
        <v>134</v>
      </c>
      <c r="D92" s="21">
        <v>415206</v>
      </c>
      <c r="E92" s="58"/>
      <c r="F92" s="21">
        <v>415206</v>
      </c>
      <c r="G92" s="21">
        <f>325770+89436</f>
        <v>415206</v>
      </c>
      <c r="H92" s="84"/>
      <c r="J92" s="84"/>
    </row>
    <row r="93" spans="1:10" s="59" customFormat="1" ht="15.75">
      <c r="A93" s="57"/>
      <c r="B93" s="25"/>
      <c r="C93" s="25" t="s">
        <v>84</v>
      </c>
      <c r="D93" s="21"/>
      <c r="E93" s="58"/>
      <c r="F93" s="21"/>
      <c r="G93" s="21">
        <v>89436</v>
      </c>
      <c r="H93" s="84"/>
      <c r="J93" s="84"/>
    </row>
    <row r="94" spans="1:10" s="59" customFormat="1" ht="45.75">
      <c r="A94" s="57">
        <v>150101</v>
      </c>
      <c r="B94" s="25" t="s">
        <v>82</v>
      </c>
      <c r="C94" s="25" t="s">
        <v>58</v>
      </c>
      <c r="D94" s="21">
        <v>2647748</v>
      </c>
      <c r="E94" s="58">
        <f>100-(F94/D94*100)</f>
        <v>14.996555563444858</v>
      </c>
      <c r="F94" s="21">
        <v>2250677</v>
      </c>
      <c r="G94" s="21">
        <f>1444897+62662</f>
        <v>1507559</v>
      </c>
      <c r="H94" s="84"/>
      <c r="J94" s="84"/>
    </row>
    <row r="95" spans="1:10" s="59" customFormat="1" ht="15.75">
      <c r="A95" s="57"/>
      <c r="B95" s="25"/>
      <c r="C95" s="25" t="s">
        <v>84</v>
      </c>
      <c r="D95" s="21"/>
      <c r="E95" s="20"/>
      <c r="F95" s="21"/>
      <c r="G95" s="21">
        <v>62662</v>
      </c>
      <c r="H95" s="84"/>
      <c r="J95" s="84"/>
    </row>
    <row r="96" spans="1:10" s="59" customFormat="1" ht="45.75">
      <c r="A96" s="88">
        <v>150101</v>
      </c>
      <c r="B96" s="25" t="s">
        <v>82</v>
      </c>
      <c r="C96" s="17" t="s">
        <v>155</v>
      </c>
      <c r="D96" s="21">
        <v>563594</v>
      </c>
      <c r="E96" s="20"/>
      <c r="F96" s="21">
        <v>563594</v>
      </c>
      <c r="G96" s="21">
        <v>563594</v>
      </c>
      <c r="H96" s="84"/>
      <c r="J96" s="84"/>
    </row>
    <row r="97" spans="1:10" s="29" customFormat="1" ht="48" customHeight="1">
      <c r="A97" s="26">
        <v>15</v>
      </c>
      <c r="B97" s="27" t="s">
        <v>272</v>
      </c>
      <c r="C97" s="27"/>
      <c r="D97" s="28">
        <f>SUM(D98:D110)-D101-D99-D105</f>
        <v>5974216</v>
      </c>
      <c r="E97" s="28"/>
      <c r="F97" s="28">
        <f>SUM(F98:F110)-F101-F99-F105</f>
        <v>4218281</v>
      </c>
      <c r="G97" s="28">
        <f>G98+G102+G104+G109+G100</f>
        <v>5082291</v>
      </c>
      <c r="H97" s="80">
        <f>'[2]Місто'!$K$105-G97</f>
        <v>0</v>
      </c>
      <c r="I97" s="37">
        <f>G109</f>
        <v>4218281</v>
      </c>
      <c r="J97" s="80">
        <f>'[2]Місто'!$K$169-I97</f>
        <v>0</v>
      </c>
    </row>
    <row r="98" spans="1:10" s="22" customFormat="1" ht="15.75">
      <c r="A98" s="16" t="s">
        <v>79</v>
      </c>
      <c r="B98" s="17" t="s">
        <v>80</v>
      </c>
      <c r="C98" s="17" t="s">
        <v>81</v>
      </c>
      <c r="D98" s="19"/>
      <c r="E98" s="20"/>
      <c r="F98" s="19"/>
      <c r="G98" s="43">
        <f>'[2]Місто'!$K$107</f>
        <v>523900</v>
      </c>
      <c r="H98" s="83"/>
      <c r="J98" s="83"/>
    </row>
    <row r="99" spans="1:10" s="22" customFormat="1" ht="15.75">
      <c r="A99" s="16"/>
      <c r="B99" s="17"/>
      <c r="C99" s="25" t="s">
        <v>84</v>
      </c>
      <c r="D99" s="19"/>
      <c r="E99" s="20"/>
      <c r="F99" s="19"/>
      <c r="G99" s="21">
        <v>23900</v>
      </c>
      <c r="H99" s="83"/>
      <c r="J99" s="83"/>
    </row>
    <row r="100" spans="1:10" s="22" customFormat="1" ht="195.75">
      <c r="A100" s="16" t="s">
        <v>111</v>
      </c>
      <c r="B100" s="17" t="s">
        <v>112</v>
      </c>
      <c r="C100" s="17" t="s">
        <v>81</v>
      </c>
      <c r="D100" s="19"/>
      <c r="E100" s="20"/>
      <c r="F100" s="19"/>
      <c r="G100" s="21">
        <f>'[2]Місто'!$K$117</f>
        <v>167200</v>
      </c>
      <c r="H100" s="83"/>
      <c r="J100" s="83"/>
    </row>
    <row r="101" spans="1:10" s="22" customFormat="1" ht="144.75">
      <c r="A101" s="16"/>
      <c r="B101" s="89" t="s">
        <v>114</v>
      </c>
      <c r="C101" s="17"/>
      <c r="D101" s="19"/>
      <c r="E101" s="20"/>
      <c r="F101" s="19"/>
      <c r="G101" s="21">
        <f>G100</f>
        <v>167200</v>
      </c>
      <c r="H101" s="83"/>
      <c r="J101" s="83"/>
    </row>
    <row r="102" spans="1:10" s="22" customFormat="1" ht="30.75">
      <c r="A102" s="40" t="s">
        <v>93</v>
      </c>
      <c r="B102" s="42" t="s">
        <v>94</v>
      </c>
      <c r="C102" s="17" t="s">
        <v>81</v>
      </c>
      <c r="D102" s="19"/>
      <c r="E102" s="20"/>
      <c r="F102" s="19"/>
      <c r="G102" s="21">
        <f>'[2]Місто'!$K$160</f>
        <v>119850</v>
      </c>
      <c r="H102" s="83"/>
      <c r="J102" s="83"/>
    </row>
    <row r="103" spans="1:10" s="22" customFormat="1" ht="15.75">
      <c r="A103" s="40"/>
      <c r="B103" s="42"/>
      <c r="C103" s="25" t="s">
        <v>84</v>
      </c>
      <c r="D103" s="19"/>
      <c r="E103" s="20"/>
      <c r="F103" s="19"/>
      <c r="G103" s="21">
        <v>119850</v>
      </c>
      <c r="H103" s="83"/>
      <c r="J103" s="83"/>
    </row>
    <row r="104" spans="1:10" s="22" customFormat="1" ht="30.75">
      <c r="A104" s="61" t="s">
        <v>281</v>
      </c>
      <c r="B104" s="17" t="s">
        <v>284</v>
      </c>
      <c r="C104" s="17" t="s">
        <v>81</v>
      </c>
      <c r="D104" s="19"/>
      <c r="E104" s="20"/>
      <c r="F104" s="19"/>
      <c r="G104" s="21">
        <f>'[2]Місто'!$K$164</f>
        <v>53060</v>
      </c>
      <c r="H104" s="83"/>
      <c r="J104" s="83"/>
    </row>
    <row r="105" spans="1:10" s="22" customFormat="1" ht="15.75">
      <c r="A105" s="16"/>
      <c r="B105" s="17"/>
      <c r="C105" s="25" t="s">
        <v>84</v>
      </c>
      <c r="D105" s="19"/>
      <c r="E105" s="20"/>
      <c r="F105" s="19"/>
      <c r="G105" s="21">
        <v>53060</v>
      </c>
      <c r="H105" s="83"/>
      <c r="J105" s="83"/>
    </row>
    <row r="106" spans="1:10" s="22" customFormat="1" ht="60.75" hidden="1">
      <c r="A106" s="16">
        <v>150101</v>
      </c>
      <c r="B106" s="17" t="s">
        <v>82</v>
      </c>
      <c r="C106" s="17" t="s">
        <v>285</v>
      </c>
      <c r="D106" s="19"/>
      <c r="E106" s="20"/>
      <c r="F106" s="19"/>
      <c r="G106" s="21"/>
      <c r="H106" s="83"/>
      <c r="J106" s="83"/>
    </row>
    <row r="107" spans="1:10" s="22" customFormat="1" ht="30.75" hidden="1">
      <c r="A107" s="61" t="s">
        <v>277</v>
      </c>
      <c r="B107" s="17" t="s">
        <v>278</v>
      </c>
      <c r="C107" s="17" t="s">
        <v>81</v>
      </c>
      <c r="D107" s="19"/>
      <c r="E107" s="20"/>
      <c r="F107" s="19"/>
      <c r="G107" s="21"/>
      <c r="H107" s="83"/>
      <c r="J107" s="83"/>
    </row>
    <row r="108" spans="1:10" s="22" customFormat="1" ht="15.75" hidden="1">
      <c r="A108" s="16"/>
      <c r="B108" s="17"/>
      <c r="C108" s="25" t="s">
        <v>84</v>
      </c>
      <c r="D108" s="19"/>
      <c r="E108" s="20"/>
      <c r="F108" s="19"/>
      <c r="G108" s="21"/>
      <c r="H108" s="83"/>
      <c r="J108" s="83"/>
    </row>
    <row r="109" spans="1:10" s="22" customFormat="1" ht="30.75">
      <c r="A109" s="16">
        <v>150101</v>
      </c>
      <c r="B109" s="17" t="s">
        <v>82</v>
      </c>
      <c r="C109" s="17" t="s">
        <v>286</v>
      </c>
      <c r="D109" s="19">
        <v>5974216</v>
      </c>
      <c r="E109" s="20">
        <f>100-(F109/D109*100)</f>
        <v>29.391890082313736</v>
      </c>
      <c r="F109" s="19">
        <v>4218281</v>
      </c>
      <c r="G109" s="21">
        <f>458388+3759893</f>
        <v>4218281</v>
      </c>
      <c r="H109" s="83"/>
      <c r="J109" s="83"/>
    </row>
    <row r="110" spans="1:10" s="22" customFormat="1" ht="15.75">
      <c r="A110" s="16"/>
      <c r="B110" s="17"/>
      <c r="C110" s="25" t="s">
        <v>84</v>
      </c>
      <c r="D110" s="19"/>
      <c r="E110" s="20"/>
      <c r="F110" s="19"/>
      <c r="G110" s="21">
        <v>458388</v>
      </c>
      <c r="H110" s="83"/>
      <c r="J110" s="83"/>
    </row>
    <row r="111" spans="1:10" s="29" customFormat="1" ht="47.25">
      <c r="A111" s="26">
        <v>23</v>
      </c>
      <c r="B111" s="27" t="s">
        <v>287</v>
      </c>
      <c r="C111" s="27"/>
      <c r="D111" s="28"/>
      <c r="E111" s="30"/>
      <c r="F111" s="28"/>
      <c r="G111" s="28">
        <f>G112</f>
        <v>7000</v>
      </c>
      <c r="H111" s="80">
        <f>'[2]Місто'!$K$198-G111</f>
        <v>0</v>
      </c>
      <c r="J111" s="82"/>
    </row>
    <row r="112" spans="1:10" s="22" customFormat="1" ht="15.75">
      <c r="A112" s="16" t="s">
        <v>79</v>
      </c>
      <c r="B112" s="17" t="s">
        <v>80</v>
      </c>
      <c r="C112" s="17" t="s">
        <v>81</v>
      </c>
      <c r="D112" s="19"/>
      <c r="E112" s="20"/>
      <c r="F112" s="19"/>
      <c r="G112" s="21">
        <f>'[2]Місто'!$K$200</f>
        <v>7000</v>
      </c>
      <c r="H112" s="83"/>
      <c r="J112" s="83"/>
    </row>
    <row r="113" spans="1:10" s="29" customFormat="1" ht="31.5">
      <c r="A113" s="26">
        <v>24</v>
      </c>
      <c r="B113" s="27" t="s">
        <v>288</v>
      </c>
      <c r="C113" s="27"/>
      <c r="D113" s="28">
        <f>SUM(D114:D124)-D115-D121-D117-D119</f>
        <v>206754</v>
      </c>
      <c r="E113" s="30"/>
      <c r="F113" s="28">
        <f>SUM(F114:F124)-F115-F121-F117-F119</f>
        <v>136523</v>
      </c>
      <c r="G113" s="28">
        <f>SUM(G114:G124)-G115-G117-G119-G121-G123</f>
        <v>3186783</v>
      </c>
      <c r="H113" s="80">
        <f>'[2]Місто'!$K$201-G113</f>
        <v>0</v>
      </c>
      <c r="I113" s="37">
        <f>G124</f>
        <v>136523</v>
      </c>
      <c r="J113" s="80">
        <f>'[2]Місто'!$K$213-I113</f>
        <v>0</v>
      </c>
    </row>
    <row r="114" spans="1:10" s="22" customFormat="1" ht="15.75">
      <c r="A114" s="16" t="s">
        <v>289</v>
      </c>
      <c r="B114" s="17" t="s">
        <v>290</v>
      </c>
      <c r="C114" s="17" t="s">
        <v>81</v>
      </c>
      <c r="D114" s="19"/>
      <c r="E114" s="20"/>
      <c r="F114" s="19"/>
      <c r="G114" s="21">
        <f>'[2]Місто'!$K$205</f>
        <v>1321</v>
      </c>
      <c r="H114" s="83"/>
      <c r="J114" s="83"/>
    </row>
    <row r="115" spans="1:10" s="22" customFormat="1" ht="15.75">
      <c r="A115" s="16"/>
      <c r="B115" s="17"/>
      <c r="C115" s="25" t="s">
        <v>84</v>
      </c>
      <c r="D115" s="19"/>
      <c r="E115" s="20"/>
      <c r="F115" s="19"/>
      <c r="G115" s="21">
        <v>1321</v>
      </c>
      <c r="H115" s="83"/>
      <c r="J115" s="83"/>
    </row>
    <row r="116" spans="1:10" s="22" customFormat="1" ht="15.75">
      <c r="A116" s="16" t="s">
        <v>291</v>
      </c>
      <c r="B116" s="17" t="s">
        <v>292</v>
      </c>
      <c r="C116" s="17" t="s">
        <v>401</v>
      </c>
      <c r="D116" s="19"/>
      <c r="E116" s="20"/>
      <c r="F116" s="19"/>
      <c r="G116" s="21">
        <f>'[2]Місто'!$K$206</f>
        <v>207061</v>
      </c>
      <c r="H116" s="83"/>
      <c r="J116" s="83"/>
    </row>
    <row r="117" spans="1:10" s="22" customFormat="1" ht="15.75">
      <c r="A117" s="16"/>
      <c r="B117" s="17"/>
      <c r="C117" s="25" t="s">
        <v>84</v>
      </c>
      <c r="D117" s="19"/>
      <c r="E117" s="20"/>
      <c r="F117" s="19"/>
      <c r="G117" s="21">
        <v>207061</v>
      </c>
      <c r="H117" s="83"/>
      <c r="J117" s="83"/>
    </row>
    <row r="118" spans="1:10" s="22" customFormat="1" ht="30.75">
      <c r="A118" s="16" t="s">
        <v>293</v>
      </c>
      <c r="B118" s="17" t="s">
        <v>294</v>
      </c>
      <c r="C118" s="17" t="s">
        <v>401</v>
      </c>
      <c r="D118" s="19"/>
      <c r="E118" s="20"/>
      <c r="F118" s="19"/>
      <c r="G118" s="21">
        <f>'[2]Місто'!$K$207</f>
        <v>1260908</v>
      </c>
      <c r="H118" s="83"/>
      <c r="J118" s="83"/>
    </row>
    <row r="119" spans="1:10" s="22" customFormat="1" ht="15.75">
      <c r="A119" s="16"/>
      <c r="B119" s="17"/>
      <c r="C119" s="25" t="s">
        <v>84</v>
      </c>
      <c r="D119" s="19"/>
      <c r="E119" s="20"/>
      <c r="F119" s="19"/>
      <c r="G119" s="21">
        <v>67406</v>
      </c>
      <c r="H119" s="83"/>
      <c r="J119" s="83"/>
    </row>
    <row r="120" spans="1:10" s="22" customFormat="1" ht="15.75">
      <c r="A120" s="16" t="s">
        <v>295</v>
      </c>
      <c r="B120" s="17" t="s">
        <v>296</v>
      </c>
      <c r="C120" s="17" t="s">
        <v>81</v>
      </c>
      <c r="D120" s="19"/>
      <c r="E120" s="20"/>
      <c r="F120" s="19"/>
      <c r="G120" s="21">
        <f>'[2]Місто'!$K$208</f>
        <v>1499254</v>
      </c>
      <c r="H120" s="83"/>
      <c r="J120" s="83"/>
    </row>
    <row r="121" spans="1:10" s="22" customFormat="1" ht="15.75">
      <c r="A121" s="16"/>
      <c r="B121" s="17"/>
      <c r="C121" s="25" t="s">
        <v>84</v>
      </c>
      <c r="D121" s="19"/>
      <c r="E121" s="20"/>
      <c r="F121" s="19"/>
      <c r="G121" s="21">
        <v>92756</v>
      </c>
      <c r="H121" s="83"/>
      <c r="J121" s="83"/>
    </row>
    <row r="122" spans="1:10" s="22" customFormat="1" ht="15.75">
      <c r="A122" s="16" t="s">
        <v>297</v>
      </c>
      <c r="B122" s="17" t="s">
        <v>298</v>
      </c>
      <c r="C122" s="17" t="s">
        <v>81</v>
      </c>
      <c r="D122" s="19"/>
      <c r="E122" s="20"/>
      <c r="F122" s="19"/>
      <c r="G122" s="21">
        <f>'[2]Місто'!$K$212</f>
        <v>81716</v>
      </c>
      <c r="H122" s="83"/>
      <c r="J122" s="83"/>
    </row>
    <row r="123" spans="1:10" s="22" customFormat="1" ht="15.75">
      <c r="A123" s="16"/>
      <c r="B123" s="17"/>
      <c r="C123" s="25" t="s">
        <v>84</v>
      </c>
      <c r="D123" s="19"/>
      <c r="E123" s="20"/>
      <c r="F123" s="19"/>
      <c r="G123" s="21">
        <v>81716</v>
      </c>
      <c r="H123" s="83"/>
      <c r="J123" s="83"/>
    </row>
    <row r="124" spans="1:10" s="22" customFormat="1" ht="45.75">
      <c r="A124" s="16">
        <v>150101</v>
      </c>
      <c r="B124" s="17" t="s">
        <v>82</v>
      </c>
      <c r="C124" s="17" t="s">
        <v>402</v>
      </c>
      <c r="D124" s="19">
        <v>206754</v>
      </c>
      <c r="E124" s="20">
        <f>100-(F124/D124*100)</f>
        <v>33.9683875523569</v>
      </c>
      <c r="F124" s="19">
        <v>136523</v>
      </c>
      <c r="G124" s="21">
        <f>9663+126860</f>
        <v>136523</v>
      </c>
      <c r="H124" s="83"/>
      <c r="J124" s="83"/>
    </row>
    <row r="125" spans="1:10" s="22" customFormat="1" ht="15.75">
      <c r="A125" s="16"/>
      <c r="B125" s="17"/>
      <c r="C125" s="25" t="s">
        <v>84</v>
      </c>
      <c r="D125" s="19"/>
      <c r="E125" s="20"/>
      <c r="F125" s="19"/>
      <c r="G125" s="21">
        <v>9663</v>
      </c>
      <c r="H125" s="83"/>
      <c r="J125" s="83"/>
    </row>
    <row r="126" spans="1:10" s="22" customFormat="1" ht="31.5" hidden="1">
      <c r="A126" s="26">
        <v>26</v>
      </c>
      <c r="B126" s="27" t="s">
        <v>17</v>
      </c>
      <c r="C126" s="27"/>
      <c r="D126" s="28">
        <f>SUM(D127)</f>
        <v>0</v>
      </c>
      <c r="E126" s="28"/>
      <c r="F126" s="28">
        <f>SUM(F127)</f>
        <v>0</v>
      </c>
      <c r="G126" s="28">
        <f>SUM(G127)</f>
        <v>0</v>
      </c>
      <c r="H126" s="83"/>
      <c r="J126" s="83"/>
    </row>
    <row r="127" spans="1:10" s="22" customFormat="1" ht="15.75" hidden="1">
      <c r="A127" s="16" t="s">
        <v>79</v>
      </c>
      <c r="B127" s="17" t="s">
        <v>80</v>
      </c>
      <c r="C127" s="17" t="s">
        <v>81</v>
      </c>
      <c r="D127" s="19"/>
      <c r="E127" s="20"/>
      <c r="F127" s="19"/>
      <c r="G127" s="21">
        <f>'[1]Місто'!$K$222</f>
        <v>0</v>
      </c>
      <c r="H127" s="83"/>
      <c r="J127" s="83"/>
    </row>
    <row r="128" spans="1:10" s="29" customFormat="1" ht="42" customHeight="1">
      <c r="A128" s="26" t="s">
        <v>299</v>
      </c>
      <c r="B128" s="27" t="s">
        <v>300</v>
      </c>
      <c r="C128" s="27"/>
      <c r="D128" s="28">
        <f>SUM(D129:D130)</f>
        <v>1071200</v>
      </c>
      <c r="E128" s="28"/>
      <c r="F128" s="28">
        <f>SUM(F129:F130)</f>
        <v>986200</v>
      </c>
      <c r="G128" s="28">
        <f>SUM(G129:G130)</f>
        <v>1000200</v>
      </c>
      <c r="H128" s="80">
        <f>'[2]Місто'!$K$223-G128</f>
        <v>0</v>
      </c>
      <c r="I128" s="37">
        <f>G130</f>
        <v>986200</v>
      </c>
      <c r="J128" s="80">
        <f>'[2]Місто'!$K$226-I128</f>
        <v>0</v>
      </c>
    </row>
    <row r="129" spans="1:10" s="22" customFormat="1" ht="15.75">
      <c r="A129" s="16" t="s">
        <v>79</v>
      </c>
      <c r="B129" s="17" t="s">
        <v>80</v>
      </c>
      <c r="C129" s="17" t="s">
        <v>81</v>
      </c>
      <c r="D129" s="19"/>
      <c r="E129" s="20"/>
      <c r="F129" s="19"/>
      <c r="G129" s="21">
        <f>'[2]Місто'!$K$225</f>
        <v>14000</v>
      </c>
      <c r="H129" s="83"/>
      <c r="J129" s="83"/>
    </row>
    <row r="130" spans="1:10" s="22" customFormat="1" ht="30.75">
      <c r="A130" s="16">
        <v>150101</v>
      </c>
      <c r="B130" s="17" t="s">
        <v>82</v>
      </c>
      <c r="C130" s="17" t="s">
        <v>395</v>
      </c>
      <c r="D130" s="19">
        <v>1071200</v>
      </c>
      <c r="E130" s="20">
        <f>100-(F130/D130*100)</f>
        <v>7.935026138909635</v>
      </c>
      <c r="F130" s="19">
        <v>986200</v>
      </c>
      <c r="G130" s="21">
        <f>'[2]Місто'!$K$227</f>
        <v>986200</v>
      </c>
      <c r="H130" s="83"/>
      <c r="J130" s="83"/>
    </row>
    <row r="131" spans="1:10" s="22" customFormat="1" ht="15.75">
      <c r="A131" s="16"/>
      <c r="B131" s="17"/>
      <c r="C131" s="25" t="s">
        <v>84</v>
      </c>
      <c r="D131" s="19"/>
      <c r="E131" s="20"/>
      <c r="F131" s="19"/>
      <c r="G131" s="21">
        <v>320091</v>
      </c>
      <c r="H131" s="83"/>
      <c r="J131" s="83"/>
    </row>
    <row r="132" spans="1:10" s="29" customFormat="1" ht="38.25" customHeight="1" hidden="1">
      <c r="A132" s="26" t="s">
        <v>301</v>
      </c>
      <c r="B132" s="27" t="s">
        <v>302</v>
      </c>
      <c r="C132" s="27"/>
      <c r="D132" s="28"/>
      <c r="E132" s="30"/>
      <c r="F132" s="28"/>
      <c r="G132" s="28">
        <f>G133</f>
        <v>0</v>
      </c>
      <c r="H132" s="82"/>
      <c r="J132" s="82"/>
    </row>
    <row r="133" spans="1:10" s="22" customFormat="1" ht="35.25" customHeight="1" hidden="1">
      <c r="A133" s="16" t="s">
        <v>79</v>
      </c>
      <c r="B133" s="17" t="s">
        <v>80</v>
      </c>
      <c r="C133" s="17" t="s">
        <v>396</v>
      </c>
      <c r="D133" s="19"/>
      <c r="E133" s="20"/>
      <c r="F133" s="19"/>
      <c r="G133" s="21"/>
      <c r="H133" s="83"/>
      <c r="J133" s="83"/>
    </row>
    <row r="134" spans="1:10" s="29" customFormat="1" ht="39" customHeight="1">
      <c r="A134" s="26">
        <v>40</v>
      </c>
      <c r="B134" s="27" t="s">
        <v>303</v>
      </c>
      <c r="C134" s="27"/>
      <c r="D134" s="28">
        <f>SUM(D135:D465)</f>
        <v>182280772</v>
      </c>
      <c r="E134" s="28"/>
      <c r="F134" s="28">
        <f>SUM(F135:F465)</f>
        <v>141164531</v>
      </c>
      <c r="G134" s="28">
        <f>G135+G136+G138+G140+G143+G145+G147+G149+G151+G152+G154+G158+G160+G162+G245+G286+G288+G291+G293+G295+G296+G298+G300+G304+G305+G306+G307+G308+G309+G310+G312+G314+G316+G318+G320+G326+G329+G331+G333+G336+G337+G340+G342+G343+G350+G352+G354+G356+G359+G361+G364+G366+G368+G370+G373+G376+G378+G381+G382+G384+G386+G388+G390+G392+G394+G396+G398+G402+G406+G408+G410+G414+G416+G418+G420+G422+G424+G426+G428+G430+G431+G433+G435+G437+G438+G440+G442+G444+G448+G450+G452+G454+G455+G457+G465</f>
        <v>78760442</v>
      </c>
      <c r="H134" s="80">
        <f>'[2]Місто'!$K$239-G134</f>
        <v>0</v>
      </c>
      <c r="I134" s="37">
        <f>G145+G147+G149+G151+G152+G154+G158+G160+G162+G245+G286+G288+G291+G293+G295+G296+G298+G300+G304+G305+G306+G307+G308+G309+G310+G312+G314+G316+G318+G320+G326+G329+G331+G333+G336+G337+G340+G342+G343+G350+G352+G354+G356+G359+G361+G364+G366+G368+G370+G373+G376+G378+G381+G382+G384+G386+G388+G390+G392+G394+G396+G398+G402+G406+G408+G410+G414+G416+G418+G420+G422+G424+G426+G428+G430+G431+G433+G435+G437+G438+G440+G442+G444+G448+G450+G452+G454+G455</f>
        <v>33145635</v>
      </c>
      <c r="J134" s="80">
        <f>'[2]Місто'!$K$258-I134</f>
        <v>0</v>
      </c>
    </row>
    <row r="135" spans="1:10" s="29" customFormat="1" ht="15.75">
      <c r="A135" s="16" t="s">
        <v>79</v>
      </c>
      <c r="B135" s="25" t="s">
        <v>80</v>
      </c>
      <c r="C135" s="17" t="s">
        <v>81</v>
      </c>
      <c r="D135" s="21"/>
      <c r="E135" s="21"/>
      <c r="F135" s="21"/>
      <c r="G135" s="21">
        <f>'[2]Місто'!$K$241</f>
        <v>35000</v>
      </c>
      <c r="H135" s="82"/>
      <c r="J135" s="82"/>
    </row>
    <row r="136" spans="1:10" s="22" customFormat="1" ht="30.75">
      <c r="A136" s="16" t="s">
        <v>304</v>
      </c>
      <c r="B136" s="17" t="s">
        <v>305</v>
      </c>
      <c r="C136" s="17" t="s">
        <v>81</v>
      </c>
      <c r="D136" s="19"/>
      <c r="E136" s="20"/>
      <c r="F136" s="19"/>
      <c r="G136" s="21">
        <f>'[2]Місто'!$K$251</f>
        <v>33149648</v>
      </c>
      <c r="H136" s="83"/>
      <c r="J136" s="83"/>
    </row>
    <row r="137" spans="1:10" s="22" customFormat="1" ht="15.75">
      <c r="A137" s="16"/>
      <c r="B137" s="17"/>
      <c r="C137" s="25" t="s">
        <v>84</v>
      </c>
      <c r="D137" s="19"/>
      <c r="E137" s="20"/>
      <c r="F137" s="19"/>
      <c r="G137" s="21">
        <v>11964167</v>
      </c>
      <c r="H137" s="83"/>
      <c r="J137" s="83"/>
    </row>
    <row r="138" spans="1:10" s="22" customFormat="1" ht="30.75">
      <c r="A138" s="16" t="s">
        <v>279</v>
      </c>
      <c r="B138" s="17" t="s">
        <v>280</v>
      </c>
      <c r="C138" s="17" t="s">
        <v>81</v>
      </c>
      <c r="D138" s="19"/>
      <c r="E138" s="20"/>
      <c r="F138" s="19"/>
      <c r="G138" s="21">
        <f>'[2]Місто'!$K$253</f>
        <v>780803</v>
      </c>
      <c r="H138" s="83"/>
      <c r="J138" s="83"/>
    </row>
    <row r="139" spans="1:10" s="22" customFormat="1" ht="15.75">
      <c r="A139" s="16"/>
      <c r="B139" s="17"/>
      <c r="C139" s="25" t="s">
        <v>84</v>
      </c>
      <c r="D139" s="19"/>
      <c r="E139" s="20"/>
      <c r="F139" s="19"/>
      <c r="G139" s="21">
        <v>91403</v>
      </c>
      <c r="H139" s="83"/>
      <c r="J139" s="83"/>
    </row>
    <row r="140" spans="1:10" s="22" customFormat="1" ht="18.75" customHeight="1">
      <c r="A140" s="16">
        <v>100203</v>
      </c>
      <c r="B140" s="17" t="s">
        <v>306</v>
      </c>
      <c r="C140" s="17" t="s">
        <v>81</v>
      </c>
      <c r="D140" s="19"/>
      <c r="E140" s="20"/>
      <c r="F140" s="19"/>
      <c r="G140" s="21">
        <f>'[2]Місто'!$K$256</f>
        <v>1446751</v>
      </c>
      <c r="H140" s="83"/>
      <c r="J140" s="83"/>
    </row>
    <row r="141" spans="1:10" s="22" customFormat="1" ht="15.75">
      <c r="A141" s="16"/>
      <c r="B141" s="17"/>
      <c r="C141" s="25" t="s">
        <v>84</v>
      </c>
      <c r="D141" s="19"/>
      <c r="E141" s="20"/>
      <c r="F141" s="19"/>
      <c r="G141" s="21">
        <v>672751</v>
      </c>
      <c r="H141" s="83"/>
      <c r="J141" s="83"/>
    </row>
    <row r="142" spans="1:10" s="22" customFormat="1" ht="15.75" hidden="1">
      <c r="A142" s="16">
        <v>100209</v>
      </c>
      <c r="B142" s="17" t="s">
        <v>122</v>
      </c>
      <c r="C142" s="17" t="s">
        <v>81</v>
      </c>
      <c r="D142" s="19"/>
      <c r="E142" s="20"/>
      <c r="F142" s="19"/>
      <c r="G142" s="21"/>
      <c r="H142" s="83"/>
      <c r="J142" s="83"/>
    </row>
    <row r="143" spans="1:10" s="22" customFormat="1" ht="21" customHeight="1">
      <c r="A143" s="16">
        <v>250404</v>
      </c>
      <c r="B143" s="17" t="s">
        <v>308</v>
      </c>
      <c r="C143" s="17" t="s">
        <v>81</v>
      </c>
      <c r="D143" s="19"/>
      <c r="E143" s="20"/>
      <c r="F143" s="19"/>
      <c r="G143" s="21">
        <f>'[2]Місто'!$K$270</f>
        <v>1287772</v>
      </c>
      <c r="H143" s="83"/>
      <c r="J143" s="83"/>
    </row>
    <row r="144" spans="1:10" s="22" customFormat="1" ht="15.75">
      <c r="A144" s="16"/>
      <c r="B144" s="17"/>
      <c r="C144" s="25" t="s">
        <v>84</v>
      </c>
      <c r="D144" s="19"/>
      <c r="E144" s="20"/>
      <c r="F144" s="19"/>
      <c r="G144" s="21">
        <v>636716</v>
      </c>
      <c r="H144" s="83"/>
      <c r="J144" s="83"/>
    </row>
    <row r="145" spans="1:10" s="59" customFormat="1" ht="30.75">
      <c r="A145" s="57">
        <v>150101</v>
      </c>
      <c r="B145" s="25" t="s">
        <v>82</v>
      </c>
      <c r="C145" s="25" t="s">
        <v>309</v>
      </c>
      <c r="D145" s="21">
        <v>706344</v>
      </c>
      <c r="E145" s="20">
        <f>100-(F145/D145*100)</f>
        <v>28.57035665341533</v>
      </c>
      <c r="F145" s="21">
        <v>504539</v>
      </c>
      <c r="G145" s="21">
        <f>38016+155622</f>
        <v>193638</v>
      </c>
      <c r="H145" s="85"/>
      <c r="J145" s="84"/>
    </row>
    <row r="146" spans="1:10" s="59" customFormat="1" ht="18" customHeight="1">
      <c r="A146" s="57"/>
      <c r="B146" s="25"/>
      <c r="C146" s="25" t="s">
        <v>84</v>
      </c>
      <c r="D146" s="21"/>
      <c r="E146" s="20"/>
      <c r="F146" s="21"/>
      <c r="G146" s="21">
        <v>155622</v>
      </c>
      <c r="H146" s="84"/>
      <c r="J146" s="84"/>
    </row>
    <row r="147" spans="1:10" s="59" customFormat="1" ht="69" customHeight="1">
      <c r="A147" s="16">
        <v>150101</v>
      </c>
      <c r="B147" s="17" t="s">
        <v>82</v>
      </c>
      <c r="C147" s="25" t="s">
        <v>403</v>
      </c>
      <c r="D147" s="21">
        <v>1512000</v>
      </c>
      <c r="E147" s="20">
        <f>100-(F147/D147*100)</f>
        <v>45.88862433862434</v>
      </c>
      <c r="F147" s="21">
        <v>818164</v>
      </c>
      <c r="G147" s="21">
        <f>275053+6575</f>
        <v>281628</v>
      </c>
      <c r="H147" s="84"/>
      <c r="J147" s="84"/>
    </row>
    <row r="148" spans="1:10" s="59" customFormat="1" ht="15.75">
      <c r="A148" s="16"/>
      <c r="B148" s="17"/>
      <c r="C148" s="25" t="s">
        <v>84</v>
      </c>
      <c r="D148" s="21"/>
      <c r="E148" s="58"/>
      <c r="F148" s="21"/>
      <c r="G148" s="21">
        <v>6575</v>
      </c>
      <c r="H148" s="84"/>
      <c r="J148" s="84"/>
    </row>
    <row r="149" spans="1:10" s="59" customFormat="1" ht="30.75">
      <c r="A149" s="16">
        <v>150101</v>
      </c>
      <c r="B149" s="17" t="s">
        <v>82</v>
      </c>
      <c r="C149" s="25" t="s">
        <v>404</v>
      </c>
      <c r="D149" s="21">
        <v>800000</v>
      </c>
      <c r="E149" s="20">
        <f>100-(F149/D149*100)</f>
        <v>10.204999999999998</v>
      </c>
      <c r="F149" s="21">
        <v>718360</v>
      </c>
      <c r="G149" s="21">
        <f>715208+3152</f>
        <v>718360</v>
      </c>
      <c r="H149" s="84"/>
      <c r="J149" s="84"/>
    </row>
    <row r="150" spans="1:10" s="59" customFormat="1" ht="15.75">
      <c r="A150" s="16"/>
      <c r="B150" s="17"/>
      <c r="C150" s="25" t="s">
        <v>84</v>
      </c>
      <c r="D150" s="21"/>
      <c r="E150" s="58"/>
      <c r="F150" s="21"/>
      <c r="G150" s="21">
        <v>3152</v>
      </c>
      <c r="H150" s="84"/>
      <c r="J150" s="84"/>
    </row>
    <row r="151" spans="1:10" s="59" customFormat="1" ht="61.5" customHeight="1">
      <c r="A151" s="16">
        <v>150101</v>
      </c>
      <c r="B151" s="17" t="s">
        <v>82</v>
      </c>
      <c r="C151" s="25" t="s">
        <v>39</v>
      </c>
      <c r="D151" s="21">
        <v>345238</v>
      </c>
      <c r="E151" s="58"/>
      <c r="F151" s="21">
        <v>345238</v>
      </c>
      <c r="G151" s="21">
        <v>250000</v>
      </c>
      <c r="H151" s="84"/>
      <c r="J151" s="84"/>
    </row>
    <row r="152" spans="1:10" s="59" customFormat="1" ht="30.75">
      <c r="A152" s="16">
        <v>150101</v>
      </c>
      <c r="B152" s="17" t="s">
        <v>82</v>
      </c>
      <c r="C152" s="25" t="s">
        <v>405</v>
      </c>
      <c r="D152" s="21">
        <v>822602</v>
      </c>
      <c r="E152" s="20">
        <f>100-(F152/D152*100)</f>
        <v>58.78808950136275</v>
      </c>
      <c r="F152" s="21">
        <v>339010</v>
      </c>
      <c r="G152" s="21">
        <v>339010</v>
      </c>
      <c r="H152" s="84"/>
      <c r="J152" s="84"/>
    </row>
    <row r="153" spans="1:10" s="59" customFormat="1" ht="15.75">
      <c r="A153" s="16"/>
      <c r="B153" s="17"/>
      <c r="C153" s="25" t="s">
        <v>84</v>
      </c>
      <c r="D153" s="21"/>
      <c r="E153" s="58"/>
      <c r="F153" s="21"/>
      <c r="G153" s="21"/>
      <c r="H153" s="84"/>
      <c r="J153" s="84"/>
    </row>
    <row r="154" spans="1:10" s="59" customFormat="1" ht="15.75">
      <c r="A154" s="16">
        <v>150101</v>
      </c>
      <c r="B154" s="17" t="s">
        <v>82</v>
      </c>
      <c r="C154" s="25" t="s">
        <v>406</v>
      </c>
      <c r="D154" s="21">
        <v>610807</v>
      </c>
      <c r="E154" s="20">
        <f>100-(F154/D154*100)</f>
        <v>52.794909030184655</v>
      </c>
      <c r="F154" s="21">
        <v>288332</v>
      </c>
      <c r="G154" s="21">
        <v>288332</v>
      </c>
      <c r="H154" s="84"/>
      <c r="J154" s="84"/>
    </row>
    <row r="155" spans="1:10" s="59" customFormat="1" ht="15.75" hidden="1">
      <c r="A155" s="16"/>
      <c r="B155" s="17"/>
      <c r="C155" s="25" t="s">
        <v>84</v>
      </c>
      <c r="D155" s="21"/>
      <c r="E155" s="20" t="e">
        <f aca="true" t="shared" si="0" ref="E155:E218">100-(F155/D155*100)</f>
        <v>#DIV/0!</v>
      </c>
      <c r="F155" s="21"/>
      <c r="G155" s="21"/>
      <c r="H155" s="84"/>
      <c r="J155" s="84"/>
    </row>
    <row r="156" spans="1:10" s="59" customFormat="1" ht="30.75" hidden="1">
      <c r="A156" s="16">
        <v>150101</v>
      </c>
      <c r="B156" s="17" t="s">
        <v>82</v>
      </c>
      <c r="C156" s="25" t="s">
        <v>414</v>
      </c>
      <c r="D156" s="21">
        <v>294000</v>
      </c>
      <c r="E156" s="20">
        <f t="shared" si="0"/>
        <v>47.73401360544217</v>
      </c>
      <c r="F156" s="21">
        <v>153662</v>
      </c>
      <c r="G156" s="21"/>
      <c r="H156" s="84"/>
      <c r="J156" s="84"/>
    </row>
    <row r="157" spans="1:10" s="59" customFormat="1" ht="15.75" hidden="1">
      <c r="A157" s="16"/>
      <c r="B157" s="17"/>
      <c r="C157" s="25" t="s">
        <v>84</v>
      </c>
      <c r="D157" s="21"/>
      <c r="E157" s="20" t="e">
        <f t="shared" si="0"/>
        <v>#DIV/0!</v>
      </c>
      <c r="F157" s="21"/>
      <c r="G157" s="21"/>
      <c r="H157" s="84"/>
      <c r="J157" s="84"/>
    </row>
    <row r="158" spans="1:10" s="59" customFormat="1" ht="42" customHeight="1">
      <c r="A158" s="16">
        <v>150101</v>
      </c>
      <c r="B158" s="17" t="s">
        <v>82</v>
      </c>
      <c r="C158" s="25" t="s">
        <v>104</v>
      </c>
      <c r="D158" s="21">
        <v>11757160</v>
      </c>
      <c r="E158" s="20">
        <f t="shared" si="0"/>
        <v>2.1553249254071574</v>
      </c>
      <c r="F158" s="21">
        <v>11503755</v>
      </c>
      <c r="G158" s="21">
        <f>33016</f>
        <v>33016</v>
      </c>
      <c r="H158" s="84"/>
      <c r="J158" s="84"/>
    </row>
    <row r="159" spans="1:10" s="59" customFormat="1" ht="15.75">
      <c r="A159" s="16"/>
      <c r="B159" s="17"/>
      <c r="C159" s="25" t="s">
        <v>84</v>
      </c>
      <c r="D159" s="21"/>
      <c r="E159" s="20"/>
      <c r="F159" s="21"/>
      <c r="G159" s="21">
        <v>33016</v>
      </c>
      <c r="H159" s="84"/>
      <c r="J159" s="84"/>
    </row>
    <row r="160" spans="1:10" s="59" customFormat="1" ht="30.75">
      <c r="A160" s="16">
        <v>150101</v>
      </c>
      <c r="B160" s="17" t="s">
        <v>82</v>
      </c>
      <c r="C160" s="25" t="s">
        <v>415</v>
      </c>
      <c r="D160" s="21">
        <v>4604675</v>
      </c>
      <c r="E160" s="20">
        <f t="shared" si="0"/>
        <v>22.93152068278434</v>
      </c>
      <c r="F160" s="21">
        <v>3548753</v>
      </c>
      <c r="G160" s="21">
        <f>1606501+1885637</f>
        <v>3492138</v>
      </c>
      <c r="H160" s="84"/>
      <c r="J160" s="84"/>
    </row>
    <row r="161" spans="1:10" s="59" customFormat="1" ht="15.75">
      <c r="A161" s="16"/>
      <c r="B161" s="17"/>
      <c r="C161" s="25" t="s">
        <v>84</v>
      </c>
      <c r="D161" s="21"/>
      <c r="E161" s="20"/>
      <c r="F161" s="21"/>
      <c r="G161" s="21">
        <v>1606501</v>
      </c>
      <c r="H161" s="84"/>
      <c r="J161" s="84"/>
    </row>
    <row r="162" spans="1:10" s="22" customFormat="1" ht="30.75">
      <c r="A162" s="16">
        <v>150101</v>
      </c>
      <c r="B162" s="17" t="s">
        <v>82</v>
      </c>
      <c r="C162" s="17" t="s">
        <v>314</v>
      </c>
      <c r="D162" s="19">
        <f>SUM(D164:D243)</f>
        <v>4580715</v>
      </c>
      <c r="E162" s="20">
        <f t="shared" si="0"/>
        <v>51.992734758656674</v>
      </c>
      <c r="F162" s="19">
        <f>SUM(F164:F243)</f>
        <v>2199076</v>
      </c>
      <c r="G162" s="19">
        <f>SUM(G164:G244)-G168-G197-G207-G222-G225-G232-G175</f>
        <v>1991781</v>
      </c>
      <c r="H162" s="83"/>
      <c r="J162" s="83"/>
    </row>
    <row r="163" spans="1:10" s="22" customFormat="1" ht="15.75">
      <c r="A163" s="16"/>
      <c r="B163" s="17"/>
      <c r="C163" s="17" t="s">
        <v>7</v>
      </c>
      <c r="D163" s="19"/>
      <c r="E163" s="20"/>
      <c r="F163" s="19"/>
      <c r="G163" s="21"/>
      <c r="H163" s="83"/>
      <c r="J163" s="83"/>
    </row>
    <row r="164" spans="1:10" s="22" customFormat="1" ht="15.75">
      <c r="A164" s="16"/>
      <c r="B164" s="17"/>
      <c r="C164" s="17" t="s">
        <v>158</v>
      </c>
      <c r="D164" s="19">
        <v>60196</v>
      </c>
      <c r="E164" s="20"/>
      <c r="F164" s="19">
        <v>60196</v>
      </c>
      <c r="G164" s="90">
        <v>58381</v>
      </c>
      <c r="H164" s="83"/>
      <c r="J164" s="83"/>
    </row>
    <row r="165" spans="1:10" s="22" customFormat="1" ht="15.75">
      <c r="A165" s="16"/>
      <c r="B165" s="17"/>
      <c r="C165" s="17" t="s">
        <v>159</v>
      </c>
      <c r="D165" s="19">
        <v>47087</v>
      </c>
      <c r="E165" s="20">
        <f t="shared" si="0"/>
        <v>95.77378044895619</v>
      </c>
      <c r="F165" s="19">
        <v>1990</v>
      </c>
      <c r="G165" s="90">
        <v>1990</v>
      </c>
      <c r="H165" s="83"/>
      <c r="J165" s="83"/>
    </row>
    <row r="166" spans="1:10" s="22" customFormat="1" ht="15.75">
      <c r="A166" s="16"/>
      <c r="B166" s="17"/>
      <c r="C166" s="17" t="s">
        <v>160</v>
      </c>
      <c r="D166" s="19">
        <v>54353</v>
      </c>
      <c r="E166" s="20">
        <f t="shared" si="0"/>
        <v>95.50898754438577</v>
      </c>
      <c r="F166" s="19">
        <v>2441</v>
      </c>
      <c r="G166" s="90">
        <v>2085</v>
      </c>
      <c r="H166" s="83"/>
      <c r="J166" s="83"/>
    </row>
    <row r="167" spans="1:10" s="22" customFormat="1" ht="15.75">
      <c r="A167" s="16"/>
      <c r="B167" s="17"/>
      <c r="C167" s="17" t="s">
        <v>44</v>
      </c>
      <c r="D167" s="19">
        <v>52504</v>
      </c>
      <c r="E167" s="20"/>
      <c r="F167" s="19">
        <v>52504</v>
      </c>
      <c r="G167" s="90">
        <f>43384+9121-1</f>
        <v>52504</v>
      </c>
      <c r="H167" s="83"/>
      <c r="J167" s="83"/>
    </row>
    <row r="168" spans="1:10" s="22" customFormat="1" ht="15.75">
      <c r="A168" s="16"/>
      <c r="B168" s="17"/>
      <c r="C168" s="25" t="s">
        <v>84</v>
      </c>
      <c r="D168" s="19"/>
      <c r="E168" s="20"/>
      <c r="F168" s="19"/>
      <c r="G168" s="90">
        <v>9121</v>
      </c>
      <c r="H168" s="83"/>
      <c r="J168" s="83"/>
    </row>
    <row r="169" spans="1:10" s="22" customFormat="1" ht="33.75" customHeight="1">
      <c r="A169" s="16"/>
      <c r="B169" s="17"/>
      <c r="C169" s="17" t="s">
        <v>161</v>
      </c>
      <c r="D169" s="19">
        <v>52372</v>
      </c>
      <c r="E169" s="20">
        <f t="shared" si="0"/>
        <v>82.46582143129916</v>
      </c>
      <c r="F169" s="19">
        <v>9183</v>
      </c>
      <c r="G169" s="90">
        <v>9132</v>
      </c>
      <c r="H169" s="83"/>
      <c r="J169" s="83"/>
    </row>
    <row r="170" spans="1:10" s="22" customFormat="1" ht="30.75">
      <c r="A170" s="16"/>
      <c r="B170" s="17"/>
      <c r="C170" s="17" t="s">
        <v>162</v>
      </c>
      <c r="D170" s="19">
        <v>41090</v>
      </c>
      <c r="E170" s="20">
        <f t="shared" si="0"/>
        <v>91.38963251399367</v>
      </c>
      <c r="F170" s="19">
        <v>3538</v>
      </c>
      <c r="G170" s="90">
        <v>1912</v>
      </c>
      <c r="H170" s="83"/>
      <c r="J170" s="83"/>
    </row>
    <row r="171" spans="1:10" s="22" customFormat="1" ht="15.75">
      <c r="A171" s="16"/>
      <c r="B171" s="17"/>
      <c r="C171" s="17" t="s">
        <v>143</v>
      </c>
      <c r="D171" s="19">
        <v>56502</v>
      </c>
      <c r="E171" s="20"/>
      <c r="F171" s="19">
        <v>56502</v>
      </c>
      <c r="G171" s="93">
        <f>56502</f>
        <v>56502</v>
      </c>
      <c r="H171" s="83"/>
      <c r="J171" s="83"/>
    </row>
    <row r="172" spans="1:10" s="22" customFormat="1" ht="15.75">
      <c r="A172" s="16"/>
      <c r="B172" s="17"/>
      <c r="C172" s="17" t="s">
        <v>146</v>
      </c>
      <c r="D172" s="19">
        <v>45522</v>
      </c>
      <c r="E172" s="20"/>
      <c r="F172" s="19">
        <v>45522</v>
      </c>
      <c r="G172" s="90">
        <v>45522</v>
      </c>
      <c r="H172" s="83"/>
      <c r="J172" s="83"/>
    </row>
    <row r="173" spans="1:10" s="22" customFormat="1" ht="15.75">
      <c r="A173" s="16"/>
      <c r="B173" s="17"/>
      <c r="C173" s="17" t="s">
        <v>163</v>
      </c>
      <c r="D173" s="19">
        <v>65071</v>
      </c>
      <c r="E173" s="20">
        <f t="shared" si="0"/>
        <v>80.55969633169923</v>
      </c>
      <c r="F173" s="19">
        <v>12650</v>
      </c>
      <c r="G173" s="90">
        <f>9286+1</f>
        <v>9287</v>
      </c>
      <c r="H173" s="83"/>
      <c r="J173" s="83"/>
    </row>
    <row r="174" spans="1:10" s="22" customFormat="1" ht="15.75">
      <c r="A174" s="16"/>
      <c r="B174" s="17"/>
      <c r="C174" s="17" t="s">
        <v>2</v>
      </c>
      <c r="D174" s="19">
        <v>71304</v>
      </c>
      <c r="E174" s="20"/>
      <c r="F174" s="19">
        <v>71304</v>
      </c>
      <c r="G174" s="90">
        <f>64232+7071+1</f>
        <v>71304</v>
      </c>
      <c r="H174" s="83"/>
      <c r="J174" s="83"/>
    </row>
    <row r="175" spans="1:10" s="22" customFormat="1" ht="15.75">
      <c r="A175" s="16"/>
      <c r="B175" s="17"/>
      <c r="C175" s="25" t="s">
        <v>84</v>
      </c>
      <c r="D175" s="19"/>
      <c r="E175" s="20"/>
      <c r="F175" s="19"/>
      <c r="G175" s="90">
        <v>7073</v>
      </c>
      <c r="H175" s="83"/>
      <c r="J175" s="83"/>
    </row>
    <row r="176" spans="1:10" s="22" customFormat="1" ht="37.5" customHeight="1">
      <c r="A176" s="16"/>
      <c r="B176" s="17"/>
      <c r="C176" s="17" t="s">
        <v>164</v>
      </c>
      <c r="D176" s="19">
        <v>92568</v>
      </c>
      <c r="E176" s="20">
        <f t="shared" si="0"/>
        <v>89.16904329789992</v>
      </c>
      <c r="F176" s="19">
        <v>10026</v>
      </c>
      <c r="G176" s="90">
        <v>9695</v>
      </c>
      <c r="H176" s="83"/>
      <c r="J176" s="83"/>
    </row>
    <row r="177" spans="1:10" s="22" customFormat="1" ht="45" customHeight="1">
      <c r="A177" s="16"/>
      <c r="B177" s="17"/>
      <c r="C177" s="17" t="s">
        <v>165</v>
      </c>
      <c r="D177" s="19">
        <v>88703</v>
      </c>
      <c r="E177" s="20">
        <f t="shared" si="0"/>
        <v>86.98916609359323</v>
      </c>
      <c r="F177" s="19">
        <v>11541</v>
      </c>
      <c r="G177" s="90">
        <f>2568+1</f>
        <v>2569</v>
      </c>
      <c r="H177" s="83"/>
      <c r="J177" s="83"/>
    </row>
    <row r="178" spans="1:10" s="22" customFormat="1" ht="30.75">
      <c r="A178" s="16"/>
      <c r="B178" s="17"/>
      <c r="C178" s="17" t="s">
        <v>166</v>
      </c>
      <c r="D178" s="19">
        <v>61612</v>
      </c>
      <c r="E178" s="20">
        <f t="shared" si="0"/>
        <v>77.98480815425566</v>
      </c>
      <c r="F178" s="19">
        <v>13564</v>
      </c>
      <c r="G178" s="90">
        <v>9252</v>
      </c>
      <c r="H178" s="83"/>
      <c r="J178" s="83"/>
    </row>
    <row r="179" spans="1:10" s="22" customFormat="1" ht="30" customHeight="1">
      <c r="A179" s="16"/>
      <c r="B179" s="17"/>
      <c r="C179" s="17" t="s">
        <v>167</v>
      </c>
      <c r="D179" s="19">
        <v>50195</v>
      </c>
      <c r="E179" s="20">
        <f t="shared" si="0"/>
        <v>91.9832652654647</v>
      </c>
      <c r="F179" s="19">
        <v>4024</v>
      </c>
      <c r="G179" s="90">
        <v>2031</v>
      </c>
      <c r="H179" s="83"/>
      <c r="J179" s="83"/>
    </row>
    <row r="180" spans="1:10" s="22" customFormat="1" ht="27.75" customHeight="1">
      <c r="A180" s="16"/>
      <c r="B180" s="17"/>
      <c r="C180" s="17" t="s">
        <v>168</v>
      </c>
      <c r="D180" s="19">
        <v>56441</v>
      </c>
      <c r="E180" s="20">
        <f t="shared" si="0"/>
        <v>80.30332559664075</v>
      </c>
      <c r="F180" s="19">
        <v>11117</v>
      </c>
      <c r="G180" s="90">
        <v>9173</v>
      </c>
      <c r="H180" s="83"/>
      <c r="J180" s="83"/>
    </row>
    <row r="181" spans="1:10" s="22" customFormat="1" ht="36" customHeight="1">
      <c r="A181" s="16"/>
      <c r="B181" s="17"/>
      <c r="C181" s="17" t="s">
        <v>169</v>
      </c>
      <c r="D181" s="19">
        <v>64969</v>
      </c>
      <c r="E181" s="20">
        <f t="shared" si="0"/>
        <v>1.9393864766273197</v>
      </c>
      <c r="F181" s="19">
        <v>63709</v>
      </c>
      <c r="G181" s="90">
        <v>60541</v>
      </c>
      <c r="H181" s="83"/>
      <c r="J181" s="83"/>
    </row>
    <row r="182" spans="1:10" s="22" customFormat="1" ht="36" customHeight="1">
      <c r="A182" s="16"/>
      <c r="B182" s="17"/>
      <c r="C182" s="17" t="s">
        <v>170</v>
      </c>
      <c r="D182" s="19">
        <v>79571</v>
      </c>
      <c r="E182" s="20">
        <f t="shared" si="0"/>
        <v>93.98775935956567</v>
      </c>
      <c r="F182" s="19">
        <v>4784</v>
      </c>
      <c r="G182" s="90">
        <f>2413+1</f>
        <v>2414</v>
      </c>
      <c r="H182" s="83"/>
      <c r="J182" s="83"/>
    </row>
    <row r="183" spans="1:10" s="22" customFormat="1" ht="30.75">
      <c r="A183" s="16"/>
      <c r="B183" s="17"/>
      <c r="C183" s="17" t="s">
        <v>171</v>
      </c>
      <c r="D183" s="19">
        <v>39365</v>
      </c>
      <c r="E183" s="20">
        <f t="shared" si="0"/>
        <v>94.99809475422329</v>
      </c>
      <c r="F183" s="19">
        <v>1969</v>
      </c>
      <c r="G183" s="90">
        <v>1890</v>
      </c>
      <c r="H183" s="83"/>
      <c r="J183" s="83"/>
    </row>
    <row r="184" spans="1:10" s="22" customFormat="1" ht="15.75">
      <c r="A184" s="16"/>
      <c r="B184" s="17"/>
      <c r="C184" s="17" t="s">
        <v>172</v>
      </c>
      <c r="D184" s="19">
        <v>54952</v>
      </c>
      <c r="E184" s="20">
        <f t="shared" si="0"/>
        <v>95.87276168292328</v>
      </c>
      <c r="F184" s="19">
        <v>2268</v>
      </c>
      <c r="G184" s="90">
        <v>2093</v>
      </c>
      <c r="H184" s="83"/>
      <c r="J184" s="83"/>
    </row>
    <row r="185" spans="1:10" s="22" customFormat="1" ht="16.5" customHeight="1">
      <c r="A185" s="16"/>
      <c r="B185" s="17"/>
      <c r="C185" s="17" t="s">
        <v>275</v>
      </c>
      <c r="D185" s="19">
        <v>60544</v>
      </c>
      <c r="E185" s="20"/>
      <c r="F185" s="19">
        <v>60544</v>
      </c>
      <c r="G185" s="19">
        <v>60544</v>
      </c>
      <c r="H185" s="83"/>
      <c r="J185" s="83"/>
    </row>
    <row r="186" spans="1:10" s="22" customFormat="1" ht="35.25" customHeight="1">
      <c r="A186" s="16"/>
      <c r="B186" s="17"/>
      <c r="C186" s="17" t="s">
        <v>173</v>
      </c>
      <c r="D186" s="19">
        <v>34528</v>
      </c>
      <c r="E186" s="20">
        <f t="shared" si="0"/>
        <v>94.65651065801669</v>
      </c>
      <c r="F186" s="19">
        <v>1845</v>
      </c>
      <c r="G186" s="19">
        <v>1827</v>
      </c>
      <c r="H186" s="83"/>
      <c r="J186" s="83"/>
    </row>
    <row r="187" spans="1:10" s="22" customFormat="1" ht="15.75">
      <c r="A187" s="16"/>
      <c r="B187" s="17"/>
      <c r="C187" s="17" t="s">
        <v>174</v>
      </c>
      <c r="D187" s="19">
        <v>55780</v>
      </c>
      <c r="E187" s="20">
        <f t="shared" si="0"/>
        <v>95.41950519899606</v>
      </c>
      <c r="F187" s="19">
        <v>2555</v>
      </c>
      <c r="G187" s="19">
        <v>2104</v>
      </c>
      <c r="H187" s="83"/>
      <c r="J187" s="83"/>
    </row>
    <row r="188" spans="1:10" s="22" customFormat="1" ht="30.75">
      <c r="A188" s="16"/>
      <c r="B188" s="17"/>
      <c r="C188" s="17" t="s">
        <v>175</v>
      </c>
      <c r="D188" s="19">
        <v>57184</v>
      </c>
      <c r="E188" s="20">
        <f t="shared" si="0"/>
        <v>94.70306379406827</v>
      </c>
      <c r="F188" s="19">
        <v>3029</v>
      </c>
      <c r="G188" s="19">
        <v>2122</v>
      </c>
      <c r="H188" s="83"/>
      <c r="J188" s="83"/>
    </row>
    <row r="189" spans="1:10" s="22" customFormat="1" ht="15.75">
      <c r="A189" s="16"/>
      <c r="B189" s="17"/>
      <c r="C189" s="17" t="s">
        <v>176</v>
      </c>
      <c r="D189" s="19">
        <v>50130</v>
      </c>
      <c r="E189" s="20">
        <f t="shared" si="0"/>
        <v>95.43586674645921</v>
      </c>
      <c r="F189" s="19">
        <v>2288</v>
      </c>
      <c r="G189" s="19">
        <v>2030</v>
      </c>
      <c r="H189" s="83"/>
      <c r="J189" s="83"/>
    </row>
    <row r="190" spans="1:10" s="22" customFormat="1" ht="15.75">
      <c r="A190" s="16"/>
      <c r="B190" s="17"/>
      <c r="C190" s="17" t="s">
        <v>3</v>
      </c>
      <c r="D190" s="19">
        <v>61218</v>
      </c>
      <c r="E190" s="20"/>
      <c r="F190" s="19">
        <v>61218</v>
      </c>
      <c r="G190" s="19">
        <v>61218</v>
      </c>
      <c r="H190" s="83"/>
      <c r="J190" s="83"/>
    </row>
    <row r="191" spans="1:10" s="22" customFormat="1" ht="32.25" customHeight="1">
      <c r="A191" s="16"/>
      <c r="B191" s="17"/>
      <c r="C191" s="17" t="s">
        <v>177</v>
      </c>
      <c r="D191" s="19">
        <v>57668</v>
      </c>
      <c r="E191" s="20">
        <f t="shared" si="0"/>
        <v>1.9074703475064183</v>
      </c>
      <c r="F191" s="19">
        <v>56568</v>
      </c>
      <c r="G191" s="19">
        <v>53812</v>
      </c>
      <c r="H191" s="83"/>
      <c r="J191" s="83"/>
    </row>
    <row r="192" spans="1:10" s="22" customFormat="1" ht="30.75">
      <c r="A192" s="16"/>
      <c r="B192" s="17"/>
      <c r="C192" s="17" t="s">
        <v>178</v>
      </c>
      <c r="D192" s="19">
        <v>57486</v>
      </c>
      <c r="E192" s="20">
        <f t="shared" si="0"/>
        <v>1.8804578506071152</v>
      </c>
      <c r="F192" s="19">
        <v>56405</v>
      </c>
      <c r="G192" s="19">
        <v>53035</v>
      </c>
      <c r="H192" s="83"/>
      <c r="J192" s="83"/>
    </row>
    <row r="193" spans="1:10" s="22" customFormat="1" ht="15.75">
      <c r="A193" s="16"/>
      <c r="B193" s="17"/>
      <c r="C193" s="17" t="s">
        <v>144</v>
      </c>
      <c r="D193" s="19">
        <v>79499</v>
      </c>
      <c r="E193" s="20"/>
      <c r="F193" s="19">
        <v>79499</v>
      </c>
      <c r="G193" s="19">
        <v>79499</v>
      </c>
      <c r="H193" s="83"/>
      <c r="J193" s="83"/>
    </row>
    <row r="194" spans="1:10" s="22" customFormat="1" ht="30.75">
      <c r="A194" s="16"/>
      <c r="B194" s="17"/>
      <c r="C194" s="17" t="s">
        <v>179</v>
      </c>
      <c r="D194" s="19">
        <v>58691</v>
      </c>
      <c r="E194" s="20">
        <f t="shared" si="0"/>
        <v>81.9819052324888</v>
      </c>
      <c r="F194" s="19">
        <v>10575</v>
      </c>
      <c r="G194" s="19">
        <v>9214</v>
      </c>
      <c r="H194" s="83"/>
      <c r="J194" s="83"/>
    </row>
    <row r="195" spans="1:10" s="22" customFormat="1" ht="30.75">
      <c r="A195" s="16"/>
      <c r="B195" s="17"/>
      <c r="C195" s="17" t="s">
        <v>180</v>
      </c>
      <c r="D195" s="19">
        <v>57397</v>
      </c>
      <c r="E195" s="20">
        <f t="shared" si="0"/>
        <v>81.27079812533756</v>
      </c>
      <c r="F195" s="19">
        <v>10750</v>
      </c>
      <c r="G195" s="19">
        <v>7073</v>
      </c>
      <c r="H195" s="83"/>
      <c r="J195" s="83"/>
    </row>
    <row r="196" spans="1:10" s="22" customFormat="1" ht="15.75">
      <c r="A196" s="16"/>
      <c r="B196" s="17"/>
      <c r="C196" s="17" t="s">
        <v>45</v>
      </c>
      <c r="D196" s="19">
        <v>45508</v>
      </c>
      <c r="E196" s="20"/>
      <c r="F196" s="19">
        <v>45508</v>
      </c>
      <c r="G196" s="19">
        <f>36467+9042-1</f>
        <v>45508</v>
      </c>
      <c r="H196" s="83"/>
      <c r="J196" s="83"/>
    </row>
    <row r="197" spans="1:10" s="22" customFormat="1" ht="15.75">
      <c r="A197" s="16"/>
      <c r="B197" s="17"/>
      <c r="C197" s="25" t="s">
        <v>84</v>
      </c>
      <c r="D197" s="19"/>
      <c r="E197" s="20"/>
      <c r="F197" s="19"/>
      <c r="G197" s="19">
        <v>9042</v>
      </c>
      <c r="H197" s="83"/>
      <c r="J197" s="83"/>
    </row>
    <row r="198" spans="1:10" s="22" customFormat="1" ht="30.75">
      <c r="A198" s="16"/>
      <c r="B198" s="17"/>
      <c r="C198" s="17" t="s">
        <v>181</v>
      </c>
      <c r="D198" s="19">
        <v>84080</v>
      </c>
      <c r="E198" s="20">
        <f t="shared" si="0"/>
        <v>87.04210275927687</v>
      </c>
      <c r="F198" s="19">
        <v>10895</v>
      </c>
      <c r="G198" s="19">
        <v>9545</v>
      </c>
      <c r="H198" s="83"/>
      <c r="J198" s="83"/>
    </row>
    <row r="199" spans="1:10" s="22" customFormat="1" ht="30.75">
      <c r="A199" s="16"/>
      <c r="B199" s="17"/>
      <c r="C199" s="17" t="s">
        <v>182</v>
      </c>
      <c r="D199" s="19">
        <v>64172</v>
      </c>
      <c r="E199" s="20">
        <f t="shared" si="0"/>
        <v>83.3245028984604</v>
      </c>
      <c r="F199" s="19">
        <v>10701</v>
      </c>
      <c r="G199" s="19">
        <v>9285</v>
      </c>
      <c r="H199" s="83"/>
      <c r="J199" s="83"/>
    </row>
    <row r="200" spans="1:10" s="22" customFormat="1" ht="16.5" customHeight="1">
      <c r="A200" s="16"/>
      <c r="B200" s="17"/>
      <c r="C200" s="17" t="s">
        <v>183</v>
      </c>
      <c r="D200" s="19">
        <v>58550</v>
      </c>
      <c r="E200" s="20">
        <f t="shared" si="0"/>
        <v>78.21007685738685</v>
      </c>
      <c r="F200" s="19">
        <v>12758</v>
      </c>
      <c r="G200" s="19">
        <v>9212</v>
      </c>
      <c r="H200" s="83"/>
      <c r="J200" s="83"/>
    </row>
    <row r="201" spans="1:10" s="22" customFormat="1" ht="30.75">
      <c r="A201" s="16"/>
      <c r="B201" s="17"/>
      <c r="C201" s="17" t="s">
        <v>184</v>
      </c>
      <c r="D201" s="19">
        <v>46313</v>
      </c>
      <c r="E201" s="20">
        <f t="shared" si="0"/>
        <v>1.882840671085873</v>
      </c>
      <c r="F201" s="19">
        <v>45441</v>
      </c>
      <c r="G201" s="19">
        <v>44617</v>
      </c>
      <c r="H201" s="83"/>
      <c r="J201" s="83"/>
    </row>
    <row r="202" spans="1:10" s="22" customFormat="1" ht="30.75">
      <c r="A202" s="16"/>
      <c r="B202" s="17"/>
      <c r="C202" s="17" t="s">
        <v>185</v>
      </c>
      <c r="D202" s="19">
        <v>38092</v>
      </c>
      <c r="E202" s="20">
        <f t="shared" si="0"/>
        <v>73.39598865903602</v>
      </c>
      <c r="F202" s="19">
        <v>10134</v>
      </c>
      <c r="G202" s="19">
        <v>8946</v>
      </c>
      <c r="H202" s="83"/>
      <c r="J202" s="83"/>
    </row>
    <row r="203" spans="1:10" s="22" customFormat="1" ht="30.75">
      <c r="A203" s="16"/>
      <c r="B203" s="17"/>
      <c r="C203" s="17" t="s">
        <v>186</v>
      </c>
      <c r="D203" s="19">
        <v>80096</v>
      </c>
      <c r="E203" s="20">
        <f t="shared" si="0"/>
        <v>86.15536356372353</v>
      </c>
      <c r="F203" s="19">
        <v>11089</v>
      </c>
      <c r="G203" s="19">
        <v>9493</v>
      </c>
      <c r="H203" s="83"/>
      <c r="J203" s="83"/>
    </row>
    <row r="204" spans="1:10" s="22" customFormat="1" ht="15.75">
      <c r="A204" s="16"/>
      <c r="B204" s="17"/>
      <c r="C204" s="17" t="s">
        <v>187</v>
      </c>
      <c r="D204" s="19">
        <v>84977</v>
      </c>
      <c r="E204" s="20">
        <f t="shared" si="0"/>
        <v>85.46312531626205</v>
      </c>
      <c r="F204" s="19">
        <v>12353</v>
      </c>
      <c r="G204" s="19">
        <f>9556+1</f>
        <v>9557</v>
      </c>
      <c r="H204" s="83"/>
      <c r="J204" s="83"/>
    </row>
    <row r="205" spans="1:10" s="22" customFormat="1" ht="15.75">
      <c r="A205" s="16"/>
      <c r="B205" s="17"/>
      <c r="C205" s="17" t="s">
        <v>188</v>
      </c>
      <c r="D205" s="19">
        <v>56282</v>
      </c>
      <c r="E205" s="20">
        <f t="shared" si="0"/>
        <v>82.708503606837</v>
      </c>
      <c r="F205" s="19">
        <v>9732</v>
      </c>
      <c r="G205" s="19">
        <v>9183</v>
      </c>
      <c r="H205" s="83"/>
      <c r="J205" s="83"/>
    </row>
    <row r="206" spans="1:10" s="22" customFormat="1" ht="15.75">
      <c r="A206" s="16"/>
      <c r="B206" s="17"/>
      <c r="C206" s="17" t="s">
        <v>4</v>
      </c>
      <c r="D206" s="19">
        <v>87445</v>
      </c>
      <c r="E206" s="20"/>
      <c r="F206" s="19">
        <v>87445</v>
      </c>
      <c r="G206" s="19">
        <f>77863+9583-1</f>
        <v>87445</v>
      </c>
      <c r="H206" s="83"/>
      <c r="J206" s="83"/>
    </row>
    <row r="207" spans="1:10" s="22" customFormat="1" ht="15.75">
      <c r="A207" s="16"/>
      <c r="B207" s="17"/>
      <c r="C207" s="25" t="s">
        <v>84</v>
      </c>
      <c r="D207" s="19"/>
      <c r="E207" s="20"/>
      <c r="F207" s="19"/>
      <c r="G207" s="19">
        <v>9583</v>
      </c>
      <c r="H207" s="83"/>
      <c r="J207" s="83"/>
    </row>
    <row r="208" spans="1:10" s="22" customFormat="1" ht="30.75">
      <c r="A208" s="16"/>
      <c r="B208" s="17"/>
      <c r="C208" s="17" t="s">
        <v>189</v>
      </c>
      <c r="D208" s="19">
        <v>60834</v>
      </c>
      <c r="E208" s="20">
        <f t="shared" si="0"/>
        <v>82.83854423513168</v>
      </c>
      <c r="F208" s="19">
        <v>10440</v>
      </c>
      <c r="G208" s="19">
        <v>9242</v>
      </c>
      <c r="H208" s="83"/>
      <c r="J208" s="83"/>
    </row>
    <row r="209" spans="1:10" s="22" customFormat="1" ht="15.75">
      <c r="A209" s="16"/>
      <c r="B209" s="17"/>
      <c r="C209" s="17" t="s">
        <v>142</v>
      </c>
      <c r="D209" s="19">
        <v>49702</v>
      </c>
      <c r="E209" s="20"/>
      <c r="F209" s="19">
        <v>49702</v>
      </c>
      <c r="G209" s="19">
        <v>34702</v>
      </c>
      <c r="H209" s="83"/>
      <c r="J209" s="83"/>
    </row>
    <row r="210" spans="1:10" s="22" customFormat="1" ht="31.5" customHeight="1">
      <c r="A210" s="16"/>
      <c r="B210" s="17"/>
      <c r="C210" s="17" t="s">
        <v>190</v>
      </c>
      <c r="D210" s="19">
        <v>45737</v>
      </c>
      <c r="E210" s="20"/>
      <c r="F210" s="19">
        <v>45737</v>
      </c>
      <c r="G210" s="19">
        <v>44329</v>
      </c>
      <c r="H210" s="83"/>
      <c r="J210" s="83"/>
    </row>
    <row r="211" spans="1:10" s="22" customFormat="1" ht="30.75">
      <c r="A211" s="16"/>
      <c r="B211" s="17"/>
      <c r="C211" s="17" t="s">
        <v>191</v>
      </c>
      <c r="D211" s="19">
        <v>60713</v>
      </c>
      <c r="E211" s="20"/>
      <c r="F211" s="19">
        <v>60713</v>
      </c>
      <c r="G211" s="19">
        <v>57340</v>
      </c>
      <c r="H211" s="83"/>
      <c r="J211" s="83"/>
    </row>
    <row r="212" spans="1:10" s="22" customFormat="1" ht="30.75">
      <c r="A212" s="16"/>
      <c r="B212" s="17"/>
      <c r="C212" s="17" t="s">
        <v>192</v>
      </c>
      <c r="D212" s="19">
        <v>44924</v>
      </c>
      <c r="E212" s="20">
        <f t="shared" si="0"/>
        <v>72.44679903837593</v>
      </c>
      <c r="F212" s="19">
        <v>12378</v>
      </c>
      <c r="G212" s="19">
        <v>11687</v>
      </c>
      <c r="H212" s="83"/>
      <c r="J212" s="83"/>
    </row>
    <row r="213" spans="1:10" s="22" customFormat="1" ht="15.75">
      <c r="A213" s="16"/>
      <c r="B213" s="17"/>
      <c r="C213" s="17" t="s">
        <v>193</v>
      </c>
      <c r="D213" s="19">
        <v>71200</v>
      </c>
      <c r="E213" s="20">
        <f t="shared" si="0"/>
        <v>1.9901685393258362</v>
      </c>
      <c r="F213" s="19">
        <v>69783</v>
      </c>
      <c r="G213" s="19">
        <v>66858</v>
      </c>
      <c r="H213" s="83"/>
      <c r="J213" s="83"/>
    </row>
    <row r="214" spans="1:10" s="22" customFormat="1" ht="15.75">
      <c r="A214" s="16"/>
      <c r="B214" s="17"/>
      <c r="C214" s="17" t="s">
        <v>194</v>
      </c>
      <c r="D214" s="19">
        <v>88259</v>
      </c>
      <c r="E214" s="20">
        <f t="shared" si="0"/>
        <v>82.77456123454832</v>
      </c>
      <c r="F214" s="19">
        <v>15203</v>
      </c>
      <c r="G214" s="19">
        <v>9593</v>
      </c>
      <c r="H214" s="83"/>
      <c r="J214" s="83"/>
    </row>
    <row r="215" spans="1:10" s="22" customFormat="1" ht="30.75">
      <c r="A215" s="16"/>
      <c r="B215" s="17"/>
      <c r="C215" s="17" t="s">
        <v>195</v>
      </c>
      <c r="D215" s="19">
        <v>88746</v>
      </c>
      <c r="E215" s="20">
        <f t="shared" si="0"/>
        <v>84.22464111058527</v>
      </c>
      <c r="F215" s="19">
        <v>14000</v>
      </c>
      <c r="G215" s="19">
        <v>9600</v>
      </c>
      <c r="H215" s="83"/>
      <c r="J215" s="83"/>
    </row>
    <row r="216" spans="1:10" s="22" customFormat="1" ht="30.75">
      <c r="A216" s="16"/>
      <c r="B216" s="17"/>
      <c r="C216" s="17" t="s">
        <v>196</v>
      </c>
      <c r="D216" s="19">
        <v>89966</v>
      </c>
      <c r="E216" s="20"/>
      <c r="F216" s="19">
        <v>89966</v>
      </c>
      <c r="G216" s="93">
        <v>9621</v>
      </c>
      <c r="H216" s="83"/>
      <c r="J216" s="83"/>
    </row>
    <row r="217" spans="1:10" s="22" customFormat="1" ht="16.5" customHeight="1">
      <c r="A217" s="16"/>
      <c r="B217" s="17"/>
      <c r="C217" s="17" t="s">
        <v>141</v>
      </c>
      <c r="D217" s="19">
        <v>80346</v>
      </c>
      <c r="E217" s="20"/>
      <c r="F217" s="19">
        <v>80346</v>
      </c>
      <c r="G217" s="19">
        <v>80346</v>
      </c>
      <c r="H217" s="83"/>
      <c r="J217" s="83"/>
    </row>
    <row r="218" spans="1:10" s="22" customFormat="1" ht="30.75">
      <c r="A218" s="16"/>
      <c r="B218" s="17"/>
      <c r="C218" s="17" t="s">
        <v>197</v>
      </c>
      <c r="D218" s="19">
        <v>71436</v>
      </c>
      <c r="E218" s="20">
        <f t="shared" si="0"/>
        <v>81.32874181085167</v>
      </c>
      <c r="F218" s="19">
        <v>13338</v>
      </c>
      <c r="G218" s="19">
        <v>10799</v>
      </c>
      <c r="H218" s="83"/>
      <c r="J218" s="83"/>
    </row>
    <row r="219" spans="1:10" s="22" customFormat="1" ht="30.75">
      <c r="A219" s="16"/>
      <c r="B219" s="17"/>
      <c r="C219" s="17" t="s">
        <v>198</v>
      </c>
      <c r="D219" s="19">
        <v>39254</v>
      </c>
      <c r="E219" s="20">
        <f aca="true" t="shared" si="1" ref="E219:E282">100-(F219/D219*100)</f>
        <v>75.32226015183166</v>
      </c>
      <c r="F219" s="19">
        <v>9687</v>
      </c>
      <c r="G219" s="19">
        <v>8961</v>
      </c>
      <c r="H219" s="83"/>
      <c r="J219" s="83"/>
    </row>
    <row r="220" spans="1:10" s="22" customFormat="1" ht="15.75">
      <c r="A220" s="16"/>
      <c r="B220" s="17"/>
      <c r="C220" s="17" t="s">
        <v>199</v>
      </c>
      <c r="D220" s="19">
        <v>45906</v>
      </c>
      <c r="E220" s="20">
        <f t="shared" si="1"/>
        <v>64.0330240055766</v>
      </c>
      <c r="F220" s="19">
        <v>16511</v>
      </c>
      <c r="G220" s="19">
        <v>14203</v>
      </c>
      <c r="H220" s="83"/>
      <c r="J220" s="83"/>
    </row>
    <row r="221" spans="1:10" s="22" customFormat="1" ht="15.75">
      <c r="A221" s="16"/>
      <c r="B221" s="17"/>
      <c r="C221" s="17" t="s">
        <v>9</v>
      </c>
      <c r="D221" s="19">
        <v>76470</v>
      </c>
      <c r="E221" s="20">
        <f t="shared" si="1"/>
        <v>25.667582058323518</v>
      </c>
      <c r="F221" s="19">
        <v>56842</v>
      </c>
      <c r="G221" s="19">
        <v>56842</v>
      </c>
      <c r="H221" s="83"/>
      <c r="J221" s="83"/>
    </row>
    <row r="222" spans="1:10" s="22" customFormat="1" ht="15.75">
      <c r="A222" s="16"/>
      <c r="B222" s="17"/>
      <c r="C222" s="25" t="s">
        <v>84</v>
      </c>
      <c r="D222" s="19"/>
      <c r="E222" s="20"/>
      <c r="F222" s="19"/>
      <c r="G222" s="19">
        <v>9446</v>
      </c>
      <c r="H222" s="83"/>
      <c r="J222" s="83"/>
    </row>
    <row r="223" spans="1:10" s="22" customFormat="1" ht="15.75">
      <c r="A223" s="16"/>
      <c r="B223" s="17"/>
      <c r="C223" s="17" t="s">
        <v>200</v>
      </c>
      <c r="D223" s="19">
        <v>83593</v>
      </c>
      <c r="E223" s="20">
        <f t="shared" si="1"/>
        <v>85.153063055519</v>
      </c>
      <c r="F223" s="19">
        <v>12411</v>
      </c>
      <c r="G223" s="93">
        <f>9538-1</f>
        <v>9537</v>
      </c>
      <c r="H223" s="83"/>
      <c r="J223" s="83"/>
    </row>
    <row r="224" spans="1:10" s="22" customFormat="1" ht="15.75">
      <c r="A224" s="16"/>
      <c r="B224" s="17"/>
      <c r="C224" s="17" t="s">
        <v>5</v>
      </c>
      <c r="D224" s="19">
        <v>99223</v>
      </c>
      <c r="E224" s="20"/>
      <c r="F224" s="19">
        <v>99223</v>
      </c>
      <c r="G224" s="19">
        <f>89482+9742</f>
        <v>99224</v>
      </c>
      <c r="H224" s="83"/>
      <c r="J224" s="83"/>
    </row>
    <row r="225" spans="1:10" s="22" customFormat="1" ht="15.75">
      <c r="A225" s="16"/>
      <c r="B225" s="17"/>
      <c r="C225" s="25" t="s">
        <v>84</v>
      </c>
      <c r="D225" s="19"/>
      <c r="E225" s="20"/>
      <c r="F225" s="19"/>
      <c r="G225" s="19">
        <v>9742</v>
      </c>
      <c r="H225" s="83"/>
      <c r="J225" s="83"/>
    </row>
    <row r="226" spans="1:10" s="22" customFormat="1" ht="30.75">
      <c r="A226" s="16"/>
      <c r="B226" s="17"/>
      <c r="C226" s="17" t="s">
        <v>201</v>
      </c>
      <c r="D226" s="19">
        <v>78787</v>
      </c>
      <c r="E226" s="20">
        <f t="shared" si="1"/>
        <v>84.08113013568229</v>
      </c>
      <c r="F226" s="19">
        <v>12542</v>
      </c>
      <c r="G226" s="19">
        <v>9475</v>
      </c>
      <c r="H226" s="83"/>
      <c r="J226" s="83"/>
    </row>
    <row r="227" spans="1:10" s="22" customFormat="1" ht="15.75">
      <c r="A227" s="16"/>
      <c r="B227" s="17"/>
      <c r="C227" s="17" t="s">
        <v>202</v>
      </c>
      <c r="D227" s="19">
        <v>90008</v>
      </c>
      <c r="E227" s="20">
        <f t="shared" si="1"/>
        <v>68.60501288774331</v>
      </c>
      <c r="F227" s="19">
        <v>28258</v>
      </c>
      <c r="G227" s="19">
        <v>9622</v>
      </c>
      <c r="H227" s="83"/>
      <c r="J227" s="83"/>
    </row>
    <row r="228" spans="1:10" s="22" customFormat="1" ht="34.5" customHeight="1">
      <c r="A228" s="16"/>
      <c r="B228" s="17"/>
      <c r="C228" s="17" t="s">
        <v>203</v>
      </c>
      <c r="D228" s="19">
        <v>45839</v>
      </c>
      <c r="E228" s="20">
        <f t="shared" si="1"/>
        <v>95.63253997687559</v>
      </c>
      <c r="F228" s="19">
        <v>2002</v>
      </c>
      <c r="G228" s="19">
        <v>1974</v>
      </c>
      <c r="H228" s="83"/>
      <c r="J228" s="83"/>
    </row>
    <row r="229" spans="1:10" s="22" customFormat="1" ht="15.75">
      <c r="A229" s="16"/>
      <c r="B229" s="17"/>
      <c r="C229" s="17" t="s">
        <v>204</v>
      </c>
      <c r="D229" s="19">
        <v>70895</v>
      </c>
      <c r="E229" s="20">
        <f t="shared" si="1"/>
        <v>96.64433316877071</v>
      </c>
      <c r="F229" s="19">
        <v>2379</v>
      </c>
      <c r="G229" s="93">
        <v>2300</v>
      </c>
      <c r="H229" s="83"/>
      <c r="J229" s="83"/>
    </row>
    <row r="230" spans="1:10" s="22" customFormat="1" ht="30.75">
      <c r="A230" s="16"/>
      <c r="B230" s="17"/>
      <c r="C230" s="17" t="s">
        <v>205</v>
      </c>
      <c r="D230" s="19">
        <v>61058</v>
      </c>
      <c r="E230" s="20"/>
      <c r="F230" s="19">
        <v>61058</v>
      </c>
      <c r="G230" s="19">
        <v>24608</v>
      </c>
      <c r="H230" s="83"/>
      <c r="J230" s="83"/>
    </row>
    <row r="231" spans="1:10" s="22" customFormat="1" ht="15.75">
      <c r="A231" s="16"/>
      <c r="B231" s="17"/>
      <c r="C231" s="17" t="s">
        <v>43</v>
      </c>
      <c r="D231" s="19">
        <v>71304</v>
      </c>
      <c r="E231" s="20"/>
      <c r="F231" s="19">
        <v>71304</v>
      </c>
      <c r="G231" s="19">
        <f>61936+9369-1</f>
        <v>71304</v>
      </c>
      <c r="H231" s="83"/>
      <c r="J231" s="83"/>
    </row>
    <row r="232" spans="1:10" s="22" customFormat="1" ht="15.75">
      <c r="A232" s="16"/>
      <c r="B232" s="17"/>
      <c r="C232" s="25" t="s">
        <v>84</v>
      </c>
      <c r="D232" s="19"/>
      <c r="E232" s="20"/>
      <c r="F232" s="19"/>
      <c r="G232" s="19">
        <v>9369</v>
      </c>
      <c r="H232" s="83"/>
      <c r="J232" s="83"/>
    </row>
    <row r="233" spans="1:10" s="22" customFormat="1" ht="33.75" customHeight="1">
      <c r="A233" s="16"/>
      <c r="B233" s="17"/>
      <c r="C233" s="17" t="s">
        <v>206</v>
      </c>
      <c r="D233" s="19">
        <v>55194</v>
      </c>
      <c r="E233" s="20">
        <f t="shared" si="1"/>
        <v>94.3689531470812</v>
      </c>
      <c r="F233" s="19">
        <v>3108</v>
      </c>
      <c r="G233" s="19">
        <v>2096</v>
      </c>
      <c r="H233" s="83"/>
      <c r="J233" s="83"/>
    </row>
    <row r="234" spans="1:10" s="22" customFormat="1" ht="15.75">
      <c r="A234" s="16"/>
      <c r="B234" s="17"/>
      <c r="C234" s="17" t="s">
        <v>145</v>
      </c>
      <c r="D234" s="19">
        <v>65863</v>
      </c>
      <c r="E234" s="20"/>
      <c r="F234" s="19">
        <v>65863</v>
      </c>
      <c r="G234" s="19">
        <v>65863</v>
      </c>
      <c r="H234" s="83"/>
      <c r="J234" s="83"/>
    </row>
    <row r="235" spans="1:10" s="22" customFormat="1" ht="30.75">
      <c r="A235" s="16"/>
      <c r="B235" s="17"/>
      <c r="C235" s="17" t="s">
        <v>207</v>
      </c>
      <c r="D235" s="19">
        <v>72646</v>
      </c>
      <c r="E235" s="20">
        <f t="shared" si="1"/>
        <v>1.8679624480356694</v>
      </c>
      <c r="F235" s="19">
        <v>71289</v>
      </c>
      <c r="G235" s="19">
        <f>64419+1</f>
        <v>64420</v>
      </c>
      <c r="H235" s="83"/>
      <c r="J235" s="83"/>
    </row>
    <row r="236" spans="1:10" s="22" customFormat="1" ht="31.5" customHeight="1">
      <c r="A236" s="16"/>
      <c r="B236" s="17"/>
      <c r="C236" s="17" t="s">
        <v>208</v>
      </c>
      <c r="D236" s="19">
        <v>40468</v>
      </c>
      <c r="E236" s="20">
        <f t="shared" si="1"/>
        <v>76.81377878817831</v>
      </c>
      <c r="F236" s="19">
        <v>9383</v>
      </c>
      <c r="G236" s="19">
        <v>8962</v>
      </c>
      <c r="H236" s="83"/>
      <c r="J236" s="83"/>
    </row>
    <row r="237" spans="1:10" s="22" customFormat="1" ht="31.5" customHeight="1">
      <c r="A237" s="16"/>
      <c r="B237" s="17"/>
      <c r="C237" s="17" t="s">
        <v>209</v>
      </c>
      <c r="D237" s="19">
        <v>57373</v>
      </c>
      <c r="E237" s="20">
        <f t="shared" si="1"/>
        <v>78.42539173478815</v>
      </c>
      <c r="F237" s="19">
        <v>12378</v>
      </c>
      <c r="G237" s="19">
        <v>9185</v>
      </c>
      <c r="H237" s="83"/>
      <c r="J237" s="83"/>
    </row>
    <row r="238" spans="1:10" s="22" customFormat="1" ht="35.25" customHeight="1">
      <c r="A238" s="16"/>
      <c r="B238" s="17"/>
      <c r="C238" s="17" t="s">
        <v>210</v>
      </c>
      <c r="D238" s="19">
        <v>63158</v>
      </c>
      <c r="E238" s="20">
        <f t="shared" si="1"/>
        <v>84.28860951898413</v>
      </c>
      <c r="F238" s="19">
        <v>9923</v>
      </c>
      <c r="G238" s="19">
        <v>9272</v>
      </c>
      <c r="H238" s="83"/>
      <c r="J238" s="83"/>
    </row>
    <row r="239" spans="1:10" s="22" customFormat="1" ht="40.5" customHeight="1">
      <c r="A239" s="16"/>
      <c r="B239" s="17"/>
      <c r="C239" s="17" t="s">
        <v>215</v>
      </c>
      <c r="D239" s="19">
        <v>50970</v>
      </c>
      <c r="E239" s="20">
        <f t="shared" si="1"/>
        <v>92.38964096527368</v>
      </c>
      <c r="F239" s="19">
        <v>3879</v>
      </c>
      <c r="G239" s="19">
        <v>2041</v>
      </c>
      <c r="H239" s="83"/>
      <c r="J239" s="83"/>
    </row>
    <row r="240" spans="1:10" s="22" customFormat="1" ht="30.75">
      <c r="A240" s="16"/>
      <c r="B240" s="17"/>
      <c r="C240" s="17" t="s">
        <v>216</v>
      </c>
      <c r="D240" s="19">
        <v>56728</v>
      </c>
      <c r="E240" s="20">
        <f t="shared" si="1"/>
        <v>79.36116203638414</v>
      </c>
      <c r="F240" s="19">
        <v>11708</v>
      </c>
      <c r="G240" s="19">
        <v>9177</v>
      </c>
      <c r="H240" s="83"/>
      <c r="J240" s="83"/>
    </row>
    <row r="241" spans="1:10" s="22" customFormat="1" ht="34.5" customHeight="1">
      <c r="A241" s="16"/>
      <c r="B241" s="17"/>
      <c r="C241" s="17" t="s">
        <v>217</v>
      </c>
      <c r="D241" s="19">
        <v>71123</v>
      </c>
      <c r="E241" s="20">
        <f t="shared" si="1"/>
        <v>76.17085893452189</v>
      </c>
      <c r="F241" s="19">
        <v>16948</v>
      </c>
      <c r="G241" s="19">
        <f>9366+1</f>
        <v>9367</v>
      </c>
      <c r="H241" s="83"/>
      <c r="J241" s="83"/>
    </row>
    <row r="242" spans="1:10" s="22" customFormat="1" ht="35.25" customHeight="1">
      <c r="A242" s="16"/>
      <c r="B242" s="17"/>
      <c r="C242" s="17" t="s">
        <v>218</v>
      </c>
      <c r="D242" s="19">
        <v>71123</v>
      </c>
      <c r="E242" s="20">
        <f t="shared" si="1"/>
        <v>1.9670148896981203</v>
      </c>
      <c r="F242" s="19">
        <v>69724</v>
      </c>
      <c r="G242" s="19">
        <f>66167+1</f>
        <v>66168</v>
      </c>
      <c r="H242" s="83"/>
      <c r="J242" s="83"/>
    </row>
    <row r="243" spans="1:10" s="22" customFormat="1" ht="30.75">
      <c r="A243" s="16"/>
      <c r="B243" s="17"/>
      <c r="C243" s="17" t="s">
        <v>219</v>
      </c>
      <c r="D243" s="19">
        <v>51852</v>
      </c>
      <c r="E243" s="20">
        <f t="shared" si="1"/>
        <v>1.8629946771580705</v>
      </c>
      <c r="F243" s="19">
        <v>50886</v>
      </c>
      <c r="G243" s="19">
        <v>48299</v>
      </c>
      <c r="H243" s="83"/>
      <c r="J243" s="83"/>
    </row>
    <row r="244" spans="1:10" s="22" customFormat="1" ht="15.75">
      <c r="A244" s="16"/>
      <c r="B244" s="17"/>
      <c r="C244" s="17" t="s">
        <v>397</v>
      </c>
      <c r="D244" s="19">
        <v>61218</v>
      </c>
      <c r="E244" s="20"/>
      <c r="F244" s="19">
        <v>61218</v>
      </c>
      <c r="G244" s="19">
        <v>61218</v>
      </c>
      <c r="H244" s="83"/>
      <c r="J244" s="83"/>
    </row>
    <row r="245" spans="1:10" s="22" customFormat="1" ht="21" customHeight="1">
      <c r="A245" s="16">
        <v>150101</v>
      </c>
      <c r="B245" s="17" t="s">
        <v>82</v>
      </c>
      <c r="C245" s="17" t="s">
        <v>315</v>
      </c>
      <c r="D245" s="19">
        <f>SUM(D247:D285)</f>
        <v>1487492</v>
      </c>
      <c r="E245" s="20">
        <f t="shared" si="1"/>
        <v>19.590491915250638</v>
      </c>
      <c r="F245" s="19">
        <f>SUM(F247:F285)</f>
        <v>1196085</v>
      </c>
      <c r="G245" s="19">
        <f>SUM(G247:G285)-G257-G259-G254</f>
        <v>1031107</v>
      </c>
      <c r="H245" s="83"/>
      <c r="J245" s="83"/>
    </row>
    <row r="246" spans="1:10" s="22" customFormat="1" ht="21" customHeight="1">
      <c r="A246" s="16"/>
      <c r="B246" s="17"/>
      <c r="C246" s="17" t="s">
        <v>7</v>
      </c>
      <c r="D246" s="19"/>
      <c r="E246" s="20"/>
      <c r="F246" s="19"/>
      <c r="G246" s="21"/>
      <c r="H246" s="83"/>
      <c r="J246" s="83"/>
    </row>
    <row r="247" spans="1:10" s="22" customFormat="1" ht="30.75">
      <c r="A247" s="16"/>
      <c r="B247" s="17"/>
      <c r="C247" s="17" t="s">
        <v>220</v>
      </c>
      <c r="D247" s="19">
        <v>42500</v>
      </c>
      <c r="E247" s="20"/>
      <c r="F247" s="19">
        <v>42500</v>
      </c>
      <c r="G247" s="90">
        <f>38672+1</f>
        <v>38673</v>
      </c>
      <c r="H247" s="83"/>
      <c r="J247" s="83"/>
    </row>
    <row r="248" spans="1:10" s="22" customFormat="1" ht="30.75">
      <c r="A248" s="16"/>
      <c r="B248" s="17"/>
      <c r="C248" s="17" t="s">
        <v>221</v>
      </c>
      <c r="D248" s="19">
        <v>42500</v>
      </c>
      <c r="E248" s="20"/>
      <c r="F248" s="19">
        <v>42500</v>
      </c>
      <c r="G248" s="90">
        <v>39458</v>
      </c>
      <c r="H248" s="83"/>
      <c r="J248" s="83"/>
    </row>
    <row r="249" spans="1:10" s="22" customFormat="1" ht="30.75">
      <c r="A249" s="16"/>
      <c r="B249" s="17"/>
      <c r="C249" s="17" t="s">
        <v>222</v>
      </c>
      <c r="D249" s="19">
        <v>42500</v>
      </c>
      <c r="E249" s="20"/>
      <c r="F249" s="19">
        <v>42500</v>
      </c>
      <c r="G249" s="90">
        <f>39621+1</f>
        <v>39622</v>
      </c>
      <c r="H249" s="83"/>
      <c r="J249" s="83"/>
    </row>
    <row r="250" spans="1:10" s="22" customFormat="1" ht="29.25" customHeight="1">
      <c r="A250" s="16"/>
      <c r="B250" s="17"/>
      <c r="C250" s="17" t="s">
        <v>223</v>
      </c>
      <c r="D250" s="19">
        <v>42500</v>
      </c>
      <c r="E250" s="20"/>
      <c r="F250" s="19">
        <v>42500</v>
      </c>
      <c r="G250" s="90">
        <v>39844</v>
      </c>
      <c r="H250" s="83"/>
      <c r="J250" s="83"/>
    </row>
    <row r="251" spans="1:10" s="22" customFormat="1" ht="33.75" customHeight="1">
      <c r="A251" s="16"/>
      <c r="B251" s="17"/>
      <c r="C251" s="17" t="s">
        <v>224</v>
      </c>
      <c r="D251" s="19">
        <v>42500</v>
      </c>
      <c r="E251" s="20"/>
      <c r="F251" s="19">
        <v>42500</v>
      </c>
      <c r="G251" s="90">
        <v>40569</v>
      </c>
      <c r="H251" s="83"/>
      <c r="J251" s="83"/>
    </row>
    <row r="252" spans="1:10" s="22" customFormat="1" ht="30.75">
      <c r="A252" s="16"/>
      <c r="B252" s="17"/>
      <c r="C252" s="17" t="s">
        <v>225</v>
      </c>
      <c r="D252" s="19">
        <v>42500</v>
      </c>
      <c r="E252" s="20">
        <f t="shared" si="1"/>
        <v>19.376470588235293</v>
      </c>
      <c r="F252" s="19">
        <v>34265</v>
      </c>
      <c r="G252" s="90">
        <v>30081</v>
      </c>
      <c r="H252" s="83"/>
      <c r="J252" s="83"/>
    </row>
    <row r="253" spans="1:10" s="22" customFormat="1" ht="15.75">
      <c r="A253" s="16"/>
      <c r="B253" s="17"/>
      <c r="C253" s="17" t="s">
        <v>64</v>
      </c>
      <c r="D253" s="19">
        <v>42498</v>
      </c>
      <c r="E253" s="20"/>
      <c r="F253" s="19">
        <v>42498</v>
      </c>
      <c r="G253" s="90">
        <f>35002+7496</f>
        <v>42498</v>
      </c>
      <c r="H253" s="83"/>
      <c r="J253" s="83"/>
    </row>
    <row r="254" spans="1:10" s="22" customFormat="1" ht="21" customHeight="1">
      <c r="A254" s="16"/>
      <c r="B254" s="17"/>
      <c r="C254" s="25" t="s">
        <v>84</v>
      </c>
      <c r="D254" s="19"/>
      <c r="E254" s="20"/>
      <c r="F254" s="19"/>
      <c r="G254" s="90">
        <v>7496</v>
      </c>
      <c r="H254" s="83"/>
      <c r="J254" s="83"/>
    </row>
    <row r="255" spans="1:10" s="22" customFormat="1" ht="32.25" customHeight="1">
      <c r="A255" s="16"/>
      <c r="B255" s="17"/>
      <c r="C255" s="17" t="s">
        <v>251</v>
      </c>
      <c r="D255" s="19">
        <v>42500</v>
      </c>
      <c r="E255" s="20"/>
      <c r="F255" s="19">
        <v>42500</v>
      </c>
      <c r="G255" s="90">
        <v>40971</v>
      </c>
      <c r="H255" s="83"/>
      <c r="J255" s="83"/>
    </row>
    <row r="256" spans="1:10" s="22" customFormat="1" ht="15.75">
      <c r="A256" s="16"/>
      <c r="B256" s="17"/>
      <c r="C256" s="17" t="s">
        <v>65</v>
      </c>
      <c r="D256" s="19">
        <v>42498</v>
      </c>
      <c r="E256" s="20"/>
      <c r="F256" s="19">
        <v>42498</v>
      </c>
      <c r="G256" s="90">
        <f>35002+7496</f>
        <v>42498</v>
      </c>
      <c r="H256" s="83"/>
      <c r="J256" s="83"/>
    </row>
    <row r="257" spans="1:10" s="22" customFormat="1" ht="21" customHeight="1">
      <c r="A257" s="16"/>
      <c r="B257" s="17"/>
      <c r="C257" s="25" t="s">
        <v>84</v>
      </c>
      <c r="D257" s="19"/>
      <c r="E257" s="20"/>
      <c r="F257" s="19"/>
      <c r="G257" s="90">
        <v>7496</v>
      </c>
      <c r="H257" s="83"/>
      <c r="J257" s="83"/>
    </row>
    <row r="258" spans="1:10" s="22" customFormat="1" ht="15.75">
      <c r="A258" s="16"/>
      <c r="B258" s="17"/>
      <c r="C258" s="17" t="s">
        <v>6</v>
      </c>
      <c r="D258" s="19">
        <v>42498</v>
      </c>
      <c r="E258" s="20"/>
      <c r="F258" s="19">
        <v>42498</v>
      </c>
      <c r="G258" s="90">
        <f>35002+7496</f>
        <v>42498</v>
      </c>
      <c r="H258" s="83"/>
      <c r="J258" s="83"/>
    </row>
    <row r="259" spans="1:10" s="22" customFormat="1" ht="16.5" customHeight="1">
      <c r="A259" s="16"/>
      <c r="B259" s="17"/>
      <c r="C259" s="25" t="s">
        <v>84</v>
      </c>
      <c r="D259" s="19"/>
      <c r="E259" s="20"/>
      <c r="F259" s="19"/>
      <c r="G259" s="90">
        <v>7496</v>
      </c>
      <c r="H259" s="83"/>
      <c r="J259" s="83"/>
    </row>
    <row r="260" spans="1:10" s="22" customFormat="1" ht="31.5" customHeight="1">
      <c r="A260" s="16"/>
      <c r="B260" s="17"/>
      <c r="C260" s="17" t="s">
        <v>226</v>
      </c>
      <c r="D260" s="19">
        <v>42500</v>
      </c>
      <c r="E260" s="20"/>
      <c r="F260" s="19">
        <v>42500</v>
      </c>
      <c r="G260" s="90">
        <v>40790</v>
      </c>
      <c r="H260" s="83"/>
      <c r="J260" s="83"/>
    </row>
    <row r="261" spans="1:10" s="22" customFormat="1" ht="35.25" customHeight="1">
      <c r="A261" s="16"/>
      <c r="B261" s="17"/>
      <c r="C261" s="17" t="s">
        <v>227</v>
      </c>
      <c r="D261" s="19">
        <v>42500</v>
      </c>
      <c r="E261" s="20"/>
      <c r="F261" s="19">
        <v>42500</v>
      </c>
      <c r="G261" s="90">
        <v>41094</v>
      </c>
      <c r="H261" s="83"/>
      <c r="J261" s="83"/>
    </row>
    <row r="262" spans="1:10" s="22" customFormat="1" ht="31.5" customHeight="1">
      <c r="A262" s="16"/>
      <c r="B262" s="17"/>
      <c r="C262" s="17" t="s">
        <v>228</v>
      </c>
      <c r="D262" s="19">
        <v>42500</v>
      </c>
      <c r="E262" s="20"/>
      <c r="F262" s="19">
        <v>42500</v>
      </c>
      <c r="G262" s="90">
        <v>40638</v>
      </c>
      <c r="H262" s="83"/>
      <c r="J262" s="83"/>
    </row>
    <row r="263" spans="1:10" s="22" customFormat="1" ht="31.5" customHeight="1">
      <c r="A263" s="16"/>
      <c r="B263" s="17"/>
      <c r="C263" s="17" t="s">
        <v>229</v>
      </c>
      <c r="D263" s="19">
        <v>42500</v>
      </c>
      <c r="E263" s="20">
        <f t="shared" si="1"/>
        <v>1.828235294117647</v>
      </c>
      <c r="F263" s="19">
        <v>41723</v>
      </c>
      <c r="G263" s="90">
        <v>39227</v>
      </c>
      <c r="H263" s="83"/>
      <c r="J263" s="83"/>
    </row>
    <row r="264" spans="1:10" s="22" customFormat="1" ht="36.75" customHeight="1">
      <c r="A264" s="16"/>
      <c r="B264" s="17"/>
      <c r="C264" s="17" t="s">
        <v>230</v>
      </c>
      <c r="D264" s="19">
        <v>42500</v>
      </c>
      <c r="E264" s="20">
        <f t="shared" si="1"/>
        <v>72.35294117647058</v>
      </c>
      <c r="F264" s="19">
        <v>11750</v>
      </c>
      <c r="G264" s="90">
        <v>7496</v>
      </c>
      <c r="H264" s="83"/>
      <c r="J264" s="83"/>
    </row>
    <row r="265" spans="1:10" s="22" customFormat="1" ht="30.75">
      <c r="A265" s="16"/>
      <c r="B265" s="17"/>
      <c r="C265" s="17" t="s">
        <v>232</v>
      </c>
      <c r="D265" s="19">
        <v>42500</v>
      </c>
      <c r="E265" s="20">
        <f t="shared" si="1"/>
        <v>70.55058823529411</v>
      </c>
      <c r="F265" s="19">
        <v>12516</v>
      </c>
      <c r="G265" s="90">
        <v>7496</v>
      </c>
      <c r="H265" s="83"/>
      <c r="J265" s="83"/>
    </row>
    <row r="266" spans="1:10" s="22" customFormat="1" ht="45" customHeight="1">
      <c r="A266" s="16"/>
      <c r="B266" s="17"/>
      <c r="C266" s="17" t="s">
        <v>231</v>
      </c>
      <c r="D266" s="19">
        <v>42500</v>
      </c>
      <c r="E266" s="20">
        <f t="shared" si="1"/>
        <v>69.95764705882353</v>
      </c>
      <c r="F266" s="19">
        <v>12768</v>
      </c>
      <c r="G266" s="90">
        <v>7496</v>
      </c>
      <c r="H266" s="83"/>
      <c r="J266" s="83"/>
    </row>
    <row r="267" spans="1:10" s="22" customFormat="1" ht="30.75">
      <c r="A267" s="16"/>
      <c r="B267" s="17"/>
      <c r="C267" s="17" t="s">
        <v>233</v>
      </c>
      <c r="D267" s="19">
        <v>42500</v>
      </c>
      <c r="E267" s="20">
        <f t="shared" si="1"/>
        <v>70.46117647058823</v>
      </c>
      <c r="F267" s="19">
        <v>12554</v>
      </c>
      <c r="G267" s="90">
        <v>7496</v>
      </c>
      <c r="H267" s="83"/>
      <c r="J267" s="83"/>
    </row>
    <row r="268" spans="1:10" s="22" customFormat="1" ht="30.75">
      <c r="A268" s="16"/>
      <c r="B268" s="17"/>
      <c r="C268" s="17" t="s">
        <v>234</v>
      </c>
      <c r="D268" s="19">
        <v>42500</v>
      </c>
      <c r="E268" s="20">
        <f t="shared" si="1"/>
        <v>76.47294117647058</v>
      </c>
      <c r="F268" s="19">
        <v>9999</v>
      </c>
      <c r="G268" s="90">
        <v>7496</v>
      </c>
      <c r="H268" s="83"/>
      <c r="J268" s="83"/>
    </row>
    <row r="269" spans="1:10" s="22" customFormat="1" ht="30.75" customHeight="1">
      <c r="A269" s="16"/>
      <c r="B269" s="17"/>
      <c r="C269" s="17" t="s">
        <v>235</v>
      </c>
      <c r="D269" s="19">
        <v>42500</v>
      </c>
      <c r="E269" s="20"/>
      <c r="F269" s="19">
        <v>42500</v>
      </c>
      <c r="G269" s="90">
        <v>40165</v>
      </c>
      <c r="H269" s="83"/>
      <c r="J269" s="83"/>
    </row>
    <row r="270" spans="1:10" s="22" customFormat="1" ht="30.75" customHeight="1">
      <c r="A270" s="16"/>
      <c r="B270" s="17"/>
      <c r="C270" s="17" t="s">
        <v>237</v>
      </c>
      <c r="D270" s="19">
        <v>42500</v>
      </c>
      <c r="E270" s="20">
        <f t="shared" si="1"/>
        <v>17.637647058823518</v>
      </c>
      <c r="F270" s="19">
        <v>35004</v>
      </c>
      <c r="G270" s="90">
        <v>32753</v>
      </c>
      <c r="H270" s="83"/>
      <c r="J270" s="83"/>
    </row>
    <row r="271" spans="1:10" s="22" customFormat="1" ht="34.5" customHeight="1">
      <c r="A271" s="16"/>
      <c r="B271" s="17"/>
      <c r="C271" s="17" t="s">
        <v>236</v>
      </c>
      <c r="D271" s="19">
        <v>42500</v>
      </c>
      <c r="E271" s="20">
        <f t="shared" si="1"/>
        <v>66.51294117647058</v>
      </c>
      <c r="F271" s="19">
        <v>14232</v>
      </c>
      <c r="G271" s="90">
        <v>11470</v>
      </c>
      <c r="H271" s="83"/>
      <c r="J271" s="83"/>
    </row>
    <row r="272" spans="1:10" s="22" customFormat="1" ht="32.25" customHeight="1">
      <c r="A272" s="16"/>
      <c r="B272" s="17"/>
      <c r="C272" s="17" t="s">
        <v>238</v>
      </c>
      <c r="D272" s="19">
        <v>42500</v>
      </c>
      <c r="E272" s="20">
        <f t="shared" si="1"/>
        <v>17.637647058823518</v>
      </c>
      <c r="F272" s="19">
        <v>35004</v>
      </c>
      <c r="G272" s="90">
        <v>32387</v>
      </c>
      <c r="H272" s="83"/>
      <c r="J272" s="83"/>
    </row>
    <row r="273" spans="1:10" s="22" customFormat="1" ht="41.25" customHeight="1">
      <c r="A273" s="16"/>
      <c r="B273" s="17"/>
      <c r="C273" s="17" t="s">
        <v>239</v>
      </c>
      <c r="D273" s="19">
        <v>42500</v>
      </c>
      <c r="E273" s="20">
        <f t="shared" si="1"/>
        <v>17.637647058823518</v>
      </c>
      <c r="F273" s="19">
        <v>35004</v>
      </c>
      <c r="G273" s="90">
        <f>31994+1</f>
        <v>31995</v>
      </c>
      <c r="H273" s="83"/>
      <c r="J273" s="83"/>
    </row>
    <row r="274" spans="1:10" s="22" customFormat="1" ht="30.75">
      <c r="A274" s="16"/>
      <c r="B274" s="17"/>
      <c r="C274" s="17" t="s">
        <v>240</v>
      </c>
      <c r="D274" s="19">
        <v>42500</v>
      </c>
      <c r="E274" s="20">
        <f t="shared" si="1"/>
        <v>19.475294117647053</v>
      </c>
      <c r="F274" s="19">
        <v>34223</v>
      </c>
      <c r="G274" s="90">
        <v>31807</v>
      </c>
      <c r="H274" s="83"/>
      <c r="J274" s="83"/>
    </row>
    <row r="275" spans="1:10" s="22" customFormat="1" ht="36" customHeight="1">
      <c r="A275" s="16"/>
      <c r="B275" s="17"/>
      <c r="C275" s="17" t="s">
        <v>241</v>
      </c>
      <c r="D275" s="19">
        <v>42500</v>
      </c>
      <c r="E275" s="20">
        <f t="shared" si="1"/>
        <v>17.637647058823518</v>
      </c>
      <c r="F275" s="19">
        <v>35004</v>
      </c>
      <c r="G275" s="90">
        <v>34016</v>
      </c>
      <c r="H275" s="83"/>
      <c r="J275" s="83"/>
    </row>
    <row r="276" spans="1:10" s="22" customFormat="1" ht="15.75">
      <c r="A276" s="16"/>
      <c r="B276" s="17"/>
      <c r="C276" s="17" t="s">
        <v>242</v>
      </c>
      <c r="D276" s="19">
        <v>42500</v>
      </c>
      <c r="E276" s="20">
        <f t="shared" si="1"/>
        <v>17.637647058823518</v>
      </c>
      <c r="F276" s="19">
        <v>35004</v>
      </c>
      <c r="G276" s="90">
        <v>33776</v>
      </c>
      <c r="H276" s="83"/>
      <c r="J276" s="83"/>
    </row>
    <row r="277" spans="1:10" s="22" customFormat="1" ht="30.75">
      <c r="A277" s="16"/>
      <c r="B277" s="17"/>
      <c r="C277" s="17" t="s">
        <v>243</v>
      </c>
      <c r="D277" s="19">
        <v>42500</v>
      </c>
      <c r="E277" s="20">
        <f t="shared" si="1"/>
        <v>17.637647058823518</v>
      </c>
      <c r="F277" s="19">
        <v>35004</v>
      </c>
      <c r="G277" s="90">
        <v>32185</v>
      </c>
      <c r="H277" s="83"/>
      <c r="J277" s="83"/>
    </row>
    <row r="278" spans="1:10" s="22" customFormat="1" ht="30.75">
      <c r="A278" s="16"/>
      <c r="B278" s="17"/>
      <c r="C278" s="17" t="s">
        <v>244</v>
      </c>
      <c r="D278" s="19">
        <v>42500</v>
      </c>
      <c r="E278" s="20">
        <f t="shared" si="1"/>
        <v>17.637647058823518</v>
      </c>
      <c r="F278" s="19">
        <v>35004</v>
      </c>
      <c r="G278" s="90">
        <v>33233</v>
      </c>
      <c r="H278" s="83"/>
      <c r="J278" s="83"/>
    </row>
    <row r="279" spans="1:10" s="22" customFormat="1" ht="30.75" hidden="1">
      <c r="A279" s="16"/>
      <c r="B279" s="17"/>
      <c r="C279" s="17" t="s">
        <v>245</v>
      </c>
      <c r="D279" s="19">
        <v>42500</v>
      </c>
      <c r="E279" s="20">
        <f t="shared" si="1"/>
        <v>0</v>
      </c>
      <c r="F279" s="19">
        <v>42500</v>
      </c>
      <c r="G279" s="90"/>
      <c r="H279" s="83"/>
      <c r="J279" s="83"/>
    </row>
    <row r="280" spans="1:10" s="22" customFormat="1" ht="30.75" hidden="1">
      <c r="A280" s="16"/>
      <c r="B280" s="17"/>
      <c r="C280" s="17" t="s">
        <v>246</v>
      </c>
      <c r="D280" s="19">
        <v>42500</v>
      </c>
      <c r="E280" s="20">
        <f t="shared" si="1"/>
        <v>0</v>
      </c>
      <c r="F280" s="19">
        <v>42500</v>
      </c>
      <c r="G280" s="90"/>
      <c r="H280" s="83"/>
      <c r="J280" s="83"/>
    </row>
    <row r="281" spans="1:10" s="22" customFormat="1" ht="15.75">
      <c r="A281" s="16"/>
      <c r="B281" s="17"/>
      <c r="C281" s="17" t="s">
        <v>42</v>
      </c>
      <c r="D281" s="19">
        <v>42498</v>
      </c>
      <c r="E281" s="20">
        <f t="shared" si="1"/>
        <v>17.636124052896605</v>
      </c>
      <c r="F281" s="19">
        <v>35003</v>
      </c>
      <c r="G281" s="90">
        <v>35003</v>
      </c>
      <c r="H281" s="83"/>
      <c r="J281" s="83"/>
    </row>
    <row r="282" spans="1:10" s="22" customFormat="1" ht="34.5" customHeight="1">
      <c r="A282" s="16"/>
      <c r="B282" s="17"/>
      <c r="C282" s="17" t="s">
        <v>247</v>
      </c>
      <c r="D282" s="19">
        <v>42500</v>
      </c>
      <c r="E282" s="20">
        <f t="shared" si="1"/>
        <v>77.5764705882353</v>
      </c>
      <c r="F282" s="19">
        <v>9530</v>
      </c>
      <c r="G282" s="90">
        <v>7496</v>
      </c>
      <c r="H282" s="83"/>
      <c r="J282" s="83"/>
    </row>
    <row r="283" spans="1:10" s="22" customFormat="1" ht="32.25" customHeight="1">
      <c r="A283" s="16"/>
      <c r="B283" s="17"/>
      <c r="C283" s="17" t="s">
        <v>248</v>
      </c>
      <c r="D283" s="19">
        <v>42500</v>
      </c>
      <c r="E283" s="19"/>
      <c r="F283" s="19">
        <v>42500</v>
      </c>
      <c r="G283" s="90">
        <v>38242</v>
      </c>
      <c r="H283" s="83"/>
      <c r="J283" s="83"/>
    </row>
    <row r="284" spans="1:10" s="22" customFormat="1" ht="30.75">
      <c r="A284" s="16"/>
      <c r="B284" s="17"/>
      <c r="C284" s="17" t="s">
        <v>250</v>
      </c>
      <c r="D284" s="19">
        <v>42500</v>
      </c>
      <c r="E284" s="19"/>
      <c r="F284" s="19">
        <v>42500</v>
      </c>
      <c r="G284" s="90">
        <f>40637+1</f>
        <v>40638</v>
      </c>
      <c r="H284" s="83"/>
      <c r="J284" s="83"/>
    </row>
    <row r="285" spans="1:10" s="22" customFormat="1" ht="30.75" hidden="1">
      <c r="A285" s="16"/>
      <c r="B285" s="17"/>
      <c r="C285" s="17" t="s">
        <v>249</v>
      </c>
      <c r="D285" s="19"/>
      <c r="E285" s="19"/>
      <c r="F285" s="19"/>
      <c r="G285" s="90"/>
      <c r="H285" s="83"/>
      <c r="J285" s="83"/>
    </row>
    <row r="286" spans="1:10" s="22" customFormat="1" ht="30.75">
      <c r="A286" s="16">
        <v>150101</v>
      </c>
      <c r="B286" s="17" t="s">
        <v>82</v>
      </c>
      <c r="C286" s="17" t="s">
        <v>316</v>
      </c>
      <c r="D286" s="19">
        <v>3826168</v>
      </c>
      <c r="E286" s="20">
        <f>100-(F286/D286*100)</f>
        <v>48.873363636933874</v>
      </c>
      <c r="F286" s="19">
        <v>1956191</v>
      </c>
      <c r="G286" s="91">
        <f>245871+760320</f>
        <v>1006191</v>
      </c>
      <c r="H286" s="83"/>
      <c r="J286" s="83"/>
    </row>
    <row r="287" spans="1:10" s="22" customFormat="1" ht="15.75">
      <c r="A287" s="16"/>
      <c r="B287" s="17"/>
      <c r="C287" s="17" t="s">
        <v>84</v>
      </c>
      <c r="D287" s="19"/>
      <c r="E287" s="20"/>
      <c r="F287" s="19"/>
      <c r="G287" s="91">
        <v>245871</v>
      </c>
      <c r="H287" s="83"/>
      <c r="J287" s="83"/>
    </row>
    <row r="288" spans="1:10" s="22" customFormat="1" ht="30.75">
      <c r="A288" s="16">
        <v>150101</v>
      </c>
      <c r="B288" s="17" t="s">
        <v>82</v>
      </c>
      <c r="C288" s="17" t="s">
        <v>317</v>
      </c>
      <c r="D288" s="19">
        <v>2321421</v>
      </c>
      <c r="E288" s="20">
        <f>100-(F288/D288*100)</f>
        <v>46.99733482207665</v>
      </c>
      <c r="F288" s="19">
        <f>1230416-1</f>
        <v>1230415</v>
      </c>
      <c r="G288" s="91">
        <f>1069468+160948-1</f>
        <v>1230415</v>
      </c>
      <c r="H288" s="83"/>
      <c r="J288" s="83"/>
    </row>
    <row r="289" spans="1:10" s="22" customFormat="1" ht="15.75" hidden="1">
      <c r="A289" s="16"/>
      <c r="B289" s="17"/>
      <c r="C289" s="17"/>
      <c r="D289" s="19"/>
      <c r="E289" s="20"/>
      <c r="F289" s="19"/>
      <c r="G289" s="91"/>
      <c r="H289" s="83"/>
      <c r="J289" s="83"/>
    </row>
    <row r="290" spans="1:10" s="22" customFormat="1" ht="15.75">
      <c r="A290" s="16"/>
      <c r="B290" s="17"/>
      <c r="C290" s="17" t="s">
        <v>84</v>
      </c>
      <c r="D290" s="19"/>
      <c r="E290" s="20"/>
      <c r="F290" s="19"/>
      <c r="G290" s="91">
        <v>160948</v>
      </c>
      <c r="H290" s="83"/>
      <c r="J290" s="83"/>
    </row>
    <row r="291" spans="1:10" s="22" customFormat="1" ht="45.75">
      <c r="A291" s="16">
        <v>150101</v>
      </c>
      <c r="B291" s="17" t="s">
        <v>82</v>
      </c>
      <c r="C291" s="17" t="s">
        <v>318</v>
      </c>
      <c r="D291" s="19">
        <v>3068143</v>
      </c>
      <c r="E291" s="20"/>
      <c r="F291" s="19">
        <v>3066905</v>
      </c>
      <c r="G291" s="91">
        <f>1015180+113168+1+19634+7795-1</f>
        <v>1155777</v>
      </c>
      <c r="H291" s="83"/>
      <c r="J291" s="83"/>
    </row>
    <row r="292" spans="1:10" s="22" customFormat="1" ht="46.5" customHeight="1" hidden="1">
      <c r="A292" s="16">
        <v>150101</v>
      </c>
      <c r="B292" s="17" t="s">
        <v>82</v>
      </c>
      <c r="C292" s="25" t="s">
        <v>319</v>
      </c>
      <c r="D292" s="19"/>
      <c r="E292" s="20" t="e">
        <f>100-(F292/D292*100)</f>
        <v>#DIV/0!</v>
      </c>
      <c r="F292" s="19"/>
      <c r="G292" s="91"/>
      <c r="H292" s="83"/>
      <c r="J292" s="83"/>
    </row>
    <row r="293" spans="1:10" s="22" customFormat="1" ht="45.75">
      <c r="A293" s="16">
        <v>150101</v>
      </c>
      <c r="B293" s="17" t="s">
        <v>82</v>
      </c>
      <c r="C293" s="25" t="s">
        <v>320</v>
      </c>
      <c r="D293" s="19">
        <v>560000</v>
      </c>
      <c r="E293" s="20"/>
      <c r="F293" s="19">
        <v>560000</v>
      </c>
      <c r="G293" s="91">
        <f>24749+400000</f>
        <v>424749</v>
      </c>
      <c r="H293" s="83"/>
      <c r="J293" s="83"/>
    </row>
    <row r="294" spans="1:10" s="22" customFormat="1" ht="15.75">
      <c r="A294" s="16"/>
      <c r="B294" s="17"/>
      <c r="C294" s="17" t="s">
        <v>84</v>
      </c>
      <c r="D294" s="19"/>
      <c r="E294" s="20"/>
      <c r="F294" s="19"/>
      <c r="G294" s="91">
        <v>24749</v>
      </c>
      <c r="H294" s="83"/>
      <c r="J294" s="83"/>
    </row>
    <row r="295" spans="1:10" s="22" customFormat="1" ht="60.75">
      <c r="A295" s="16">
        <v>150101</v>
      </c>
      <c r="B295" s="17" t="s">
        <v>82</v>
      </c>
      <c r="C295" s="25" t="s">
        <v>212</v>
      </c>
      <c r="D295" s="19">
        <v>2000000</v>
      </c>
      <c r="E295" s="20">
        <f>100-(F295/D295*100)</f>
        <v>95.75</v>
      </c>
      <c r="F295" s="19">
        <v>85000</v>
      </c>
      <c r="G295" s="91">
        <v>85000</v>
      </c>
      <c r="H295" s="83"/>
      <c r="J295" s="83"/>
    </row>
    <row r="296" spans="1:10" s="22" customFormat="1" ht="63.75" customHeight="1">
      <c r="A296" s="16">
        <v>150101</v>
      </c>
      <c r="B296" s="17" t="s">
        <v>82</v>
      </c>
      <c r="C296" s="25" t="s">
        <v>283</v>
      </c>
      <c r="D296" s="19">
        <v>52655</v>
      </c>
      <c r="E296" s="20"/>
      <c r="F296" s="19">
        <v>52655</v>
      </c>
      <c r="G296" s="91">
        <f>40879+11776</f>
        <v>52655</v>
      </c>
      <c r="H296" s="83"/>
      <c r="J296" s="83"/>
    </row>
    <row r="297" spans="1:10" s="22" customFormat="1" ht="15.75">
      <c r="A297" s="16"/>
      <c r="B297" s="17"/>
      <c r="C297" s="17" t="s">
        <v>84</v>
      </c>
      <c r="D297" s="19"/>
      <c r="E297" s="20"/>
      <c r="F297" s="19"/>
      <c r="G297" s="91">
        <v>40879</v>
      </c>
      <c r="H297" s="83"/>
      <c r="J297" s="83"/>
    </row>
    <row r="298" spans="1:10" s="22" customFormat="1" ht="86.25" customHeight="1">
      <c r="A298" s="16">
        <v>150101</v>
      </c>
      <c r="B298" s="17" t="s">
        <v>82</v>
      </c>
      <c r="C298" s="17" t="s">
        <v>26</v>
      </c>
      <c r="D298" s="19">
        <v>800000</v>
      </c>
      <c r="E298" s="20"/>
      <c r="F298" s="19">
        <v>800000</v>
      </c>
      <c r="G298" s="91">
        <f>428715+71285</f>
        <v>500000</v>
      </c>
      <c r="H298" s="83"/>
      <c r="J298" s="83"/>
    </row>
    <row r="299" spans="1:10" s="22" customFormat="1" ht="15.75">
      <c r="A299" s="16"/>
      <c r="B299" s="17"/>
      <c r="C299" s="17" t="s">
        <v>84</v>
      </c>
      <c r="D299" s="19"/>
      <c r="E299" s="20"/>
      <c r="F299" s="19"/>
      <c r="G299" s="91">
        <v>71285</v>
      </c>
      <c r="H299" s="83"/>
      <c r="J299" s="83"/>
    </row>
    <row r="300" spans="1:10" s="22" customFormat="1" ht="45.75">
      <c r="A300" s="16">
        <v>150101</v>
      </c>
      <c r="B300" s="17" t="s">
        <v>82</v>
      </c>
      <c r="C300" s="17" t="s">
        <v>19</v>
      </c>
      <c r="D300" s="19">
        <v>43459</v>
      </c>
      <c r="E300" s="20"/>
      <c r="F300" s="19">
        <v>43459</v>
      </c>
      <c r="G300" s="91">
        <v>43459</v>
      </c>
      <c r="H300" s="83"/>
      <c r="J300" s="83"/>
    </row>
    <row r="301" spans="1:10" s="22" customFormat="1" ht="30.75" customHeight="1" hidden="1">
      <c r="A301" s="16"/>
      <c r="B301" s="17"/>
      <c r="C301" s="17"/>
      <c r="D301" s="19"/>
      <c r="E301" s="20" t="e">
        <f>100-(F301/D301*100)</f>
        <v>#DIV/0!</v>
      </c>
      <c r="F301" s="19"/>
      <c r="G301" s="91"/>
      <c r="H301" s="83"/>
      <c r="J301" s="83"/>
    </row>
    <row r="302" spans="1:10" s="22" customFormat="1" ht="30.75" customHeight="1" hidden="1">
      <c r="A302" s="16"/>
      <c r="B302" s="17"/>
      <c r="C302" s="17"/>
      <c r="D302" s="19"/>
      <c r="E302" s="20" t="e">
        <f>100-(F302/D302*100)</f>
        <v>#DIV/0!</v>
      </c>
      <c r="F302" s="19"/>
      <c r="G302" s="91"/>
      <c r="H302" s="83"/>
      <c r="J302" s="83"/>
    </row>
    <row r="303" spans="1:10" s="22" customFormat="1" ht="15.75">
      <c r="A303" s="16"/>
      <c r="B303" s="17"/>
      <c r="C303" s="17" t="s">
        <v>84</v>
      </c>
      <c r="D303" s="19"/>
      <c r="E303" s="20"/>
      <c r="F303" s="19"/>
      <c r="G303" s="91">
        <v>5918</v>
      </c>
      <c r="H303" s="83"/>
      <c r="J303" s="83"/>
    </row>
    <row r="304" spans="1:10" s="22" customFormat="1" ht="30.75">
      <c r="A304" s="16">
        <v>150101</v>
      </c>
      <c r="B304" s="17" t="s">
        <v>82</v>
      </c>
      <c r="C304" s="17" t="s">
        <v>213</v>
      </c>
      <c r="D304" s="19">
        <v>72468</v>
      </c>
      <c r="E304" s="20"/>
      <c r="F304" s="19">
        <v>72468</v>
      </c>
      <c r="G304" s="92">
        <v>72468</v>
      </c>
      <c r="H304" s="83"/>
      <c r="J304" s="83"/>
    </row>
    <row r="305" spans="1:10" s="22" customFormat="1" ht="45.75">
      <c r="A305" s="16">
        <v>150101</v>
      </c>
      <c r="B305" s="17" t="s">
        <v>82</v>
      </c>
      <c r="C305" s="17" t="s">
        <v>128</v>
      </c>
      <c r="D305" s="19">
        <v>40035</v>
      </c>
      <c r="E305" s="20"/>
      <c r="F305" s="19">
        <v>40035</v>
      </c>
      <c r="G305" s="92">
        <v>40035</v>
      </c>
      <c r="H305" s="83"/>
      <c r="J305" s="83"/>
    </row>
    <row r="306" spans="1:10" s="22" customFormat="1" ht="45.75">
      <c r="A306" s="16">
        <v>150101</v>
      </c>
      <c r="B306" s="17" t="s">
        <v>82</v>
      </c>
      <c r="C306" s="17" t="s">
        <v>129</v>
      </c>
      <c r="D306" s="19">
        <v>33791</v>
      </c>
      <c r="E306" s="20"/>
      <c r="F306" s="19">
        <v>33791</v>
      </c>
      <c r="G306" s="92">
        <v>33791</v>
      </c>
      <c r="H306" s="83"/>
      <c r="J306" s="83"/>
    </row>
    <row r="307" spans="1:10" s="22" customFormat="1" ht="30.75">
      <c r="A307" s="16">
        <v>150101</v>
      </c>
      <c r="B307" s="17" t="s">
        <v>82</v>
      </c>
      <c r="C307" s="17" t="s">
        <v>130</v>
      </c>
      <c r="D307" s="19">
        <v>164432</v>
      </c>
      <c r="E307" s="20"/>
      <c r="F307" s="19">
        <v>164432</v>
      </c>
      <c r="G307" s="92">
        <v>164432</v>
      </c>
      <c r="H307" s="83"/>
      <c r="J307" s="83"/>
    </row>
    <row r="308" spans="1:10" s="22" customFormat="1" ht="30.75">
      <c r="A308" s="16">
        <v>150101</v>
      </c>
      <c r="B308" s="17" t="s">
        <v>82</v>
      </c>
      <c r="C308" s="17" t="s">
        <v>131</v>
      </c>
      <c r="D308" s="19">
        <v>68651</v>
      </c>
      <c r="E308" s="20"/>
      <c r="F308" s="19">
        <v>68651</v>
      </c>
      <c r="G308" s="92">
        <v>68651</v>
      </c>
      <c r="H308" s="83"/>
      <c r="J308" s="83"/>
    </row>
    <row r="309" spans="1:10" s="22" customFormat="1" ht="30.75">
      <c r="A309" s="16">
        <v>150101</v>
      </c>
      <c r="B309" s="17" t="s">
        <v>82</v>
      </c>
      <c r="C309" s="17" t="s">
        <v>132</v>
      </c>
      <c r="D309" s="19">
        <v>658952</v>
      </c>
      <c r="E309" s="20"/>
      <c r="F309" s="19">
        <v>658952</v>
      </c>
      <c r="G309" s="92">
        <v>658952</v>
      </c>
      <c r="H309" s="83"/>
      <c r="J309" s="83"/>
    </row>
    <row r="310" spans="1:10" s="22" customFormat="1" ht="30.75">
      <c r="A310" s="16">
        <v>150101</v>
      </c>
      <c r="B310" s="17" t="s">
        <v>82</v>
      </c>
      <c r="C310" s="17" t="s">
        <v>148</v>
      </c>
      <c r="D310" s="19">
        <v>130106</v>
      </c>
      <c r="E310" s="20">
        <f>100-(F310/D310*100)</f>
        <v>6.559267059167141</v>
      </c>
      <c r="F310" s="19">
        <v>121572</v>
      </c>
      <c r="G310" s="91">
        <v>116253</v>
      </c>
      <c r="H310" s="83"/>
      <c r="J310" s="83"/>
    </row>
    <row r="311" spans="1:10" s="22" customFormat="1" ht="15.75">
      <c r="A311" s="16"/>
      <c r="B311" s="17"/>
      <c r="C311" s="17" t="s">
        <v>84</v>
      </c>
      <c r="D311" s="19"/>
      <c r="E311" s="20"/>
      <c r="F311" s="19"/>
      <c r="G311" s="91">
        <v>116253</v>
      </c>
      <c r="H311" s="83"/>
      <c r="J311" s="83"/>
    </row>
    <row r="312" spans="1:10" s="22" customFormat="1" ht="56.25" customHeight="1">
      <c r="A312" s="16">
        <v>150101</v>
      </c>
      <c r="B312" s="17" t="s">
        <v>82</v>
      </c>
      <c r="C312" s="17" t="s">
        <v>150</v>
      </c>
      <c r="D312" s="19">
        <v>214529</v>
      </c>
      <c r="E312" s="20">
        <f>100-(F312/D312*100)</f>
        <v>6.813064900316519</v>
      </c>
      <c r="F312" s="19">
        <v>199913</v>
      </c>
      <c r="G312" s="91">
        <v>180954</v>
      </c>
      <c r="H312" s="83"/>
      <c r="J312" s="83"/>
    </row>
    <row r="313" spans="1:10" s="22" customFormat="1" ht="15.75">
      <c r="A313" s="16"/>
      <c r="B313" s="17"/>
      <c r="C313" s="17" t="s">
        <v>84</v>
      </c>
      <c r="D313" s="19"/>
      <c r="E313" s="20"/>
      <c r="F313" s="19"/>
      <c r="G313" s="91">
        <v>180954</v>
      </c>
      <c r="H313" s="83"/>
      <c r="J313" s="83"/>
    </row>
    <row r="314" spans="1:10" s="22" customFormat="1" ht="42" customHeight="1">
      <c r="A314" s="16">
        <v>150101</v>
      </c>
      <c r="B314" s="17" t="s">
        <v>82</v>
      </c>
      <c r="C314" s="17" t="s">
        <v>151</v>
      </c>
      <c r="D314" s="19">
        <v>47312</v>
      </c>
      <c r="E314" s="20">
        <f>100-(F314/D314*100)</f>
        <v>11.688366587757855</v>
      </c>
      <c r="F314" s="19">
        <v>41782</v>
      </c>
      <c r="G314" s="91">
        <v>40590</v>
      </c>
      <c r="H314" s="83"/>
      <c r="J314" s="83"/>
    </row>
    <row r="315" spans="1:10" s="22" customFormat="1" ht="15.75">
      <c r="A315" s="16"/>
      <c r="B315" s="17"/>
      <c r="C315" s="17" t="s">
        <v>84</v>
      </c>
      <c r="D315" s="19"/>
      <c r="E315" s="20"/>
      <c r="F315" s="19"/>
      <c r="G315" s="91">
        <v>40590</v>
      </c>
      <c r="H315" s="83"/>
      <c r="J315" s="83"/>
    </row>
    <row r="316" spans="1:10" s="22" customFormat="1" ht="56.25" customHeight="1">
      <c r="A316" s="16">
        <v>150101</v>
      </c>
      <c r="B316" s="17" t="s">
        <v>82</v>
      </c>
      <c r="C316" s="17" t="s">
        <v>152</v>
      </c>
      <c r="D316" s="19">
        <v>88917</v>
      </c>
      <c r="E316" s="20">
        <f>100-(F316/D316*100)</f>
        <v>8.763228628946095</v>
      </c>
      <c r="F316" s="19">
        <v>81125</v>
      </c>
      <c r="G316" s="21">
        <v>76841</v>
      </c>
      <c r="H316" s="83"/>
      <c r="J316" s="83"/>
    </row>
    <row r="317" spans="1:10" s="22" customFormat="1" ht="15.75">
      <c r="A317" s="16"/>
      <c r="B317" s="17"/>
      <c r="C317" s="17" t="s">
        <v>84</v>
      </c>
      <c r="D317" s="19"/>
      <c r="E317" s="20"/>
      <c r="F317" s="19"/>
      <c r="G317" s="21">
        <v>76841</v>
      </c>
      <c r="H317" s="83"/>
      <c r="J317" s="83"/>
    </row>
    <row r="318" spans="1:10" s="22" customFormat="1" ht="56.25" customHeight="1">
      <c r="A318" s="16">
        <v>150101</v>
      </c>
      <c r="B318" s="17" t="s">
        <v>82</v>
      </c>
      <c r="C318" s="17" t="s">
        <v>149</v>
      </c>
      <c r="D318" s="19">
        <v>167602</v>
      </c>
      <c r="E318" s="20"/>
      <c r="F318" s="19">
        <v>167602</v>
      </c>
      <c r="G318" s="21">
        <v>161245</v>
      </c>
      <c r="H318" s="83"/>
      <c r="J318" s="83"/>
    </row>
    <row r="319" spans="1:10" s="22" customFormat="1" ht="15.75">
      <c r="A319" s="16"/>
      <c r="B319" s="17"/>
      <c r="C319" s="17" t="s">
        <v>84</v>
      </c>
      <c r="D319" s="19"/>
      <c r="E319" s="20"/>
      <c r="F319" s="19"/>
      <c r="G319" s="21">
        <v>161245</v>
      </c>
      <c r="H319" s="83"/>
      <c r="J319" s="83"/>
    </row>
    <row r="320" spans="1:10" s="22" customFormat="1" ht="30.75">
      <c r="A320" s="16">
        <v>150101</v>
      </c>
      <c r="B320" s="17" t="s">
        <v>82</v>
      </c>
      <c r="C320" s="17" t="s">
        <v>20</v>
      </c>
      <c r="D320" s="19">
        <v>50891</v>
      </c>
      <c r="E320" s="20"/>
      <c r="F320" s="19">
        <v>50891</v>
      </c>
      <c r="G320" s="21">
        <v>50891</v>
      </c>
      <c r="H320" s="83"/>
      <c r="J320" s="83"/>
    </row>
    <row r="321" spans="1:10" s="22" customFormat="1" ht="30.75" hidden="1">
      <c r="A321" s="16">
        <v>150101</v>
      </c>
      <c r="B321" s="17" t="s">
        <v>82</v>
      </c>
      <c r="C321" s="17" t="s">
        <v>21</v>
      </c>
      <c r="D321" s="19"/>
      <c r="E321" s="20" t="e">
        <f>100-(F321/D321*100)</f>
        <v>#DIV/0!</v>
      </c>
      <c r="F321" s="19"/>
      <c r="G321" s="21"/>
      <c r="H321" s="83"/>
      <c r="J321" s="83"/>
    </row>
    <row r="322" spans="1:10" s="22" customFormat="1" ht="33" customHeight="1" hidden="1">
      <c r="A322" s="16">
        <v>150101</v>
      </c>
      <c r="B322" s="17" t="s">
        <v>82</v>
      </c>
      <c r="C322" s="17" t="s">
        <v>22</v>
      </c>
      <c r="D322" s="19"/>
      <c r="E322" s="20" t="e">
        <f>100-(F322/D322*100)</f>
        <v>#DIV/0!</v>
      </c>
      <c r="F322" s="19"/>
      <c r="G322" s="21"/>
      <c r="H322" s="83"/>
      <c r="J322" s="83"/>
    </row>
    <row r="323" spans="1:10" s="22" customFormat="1" ht="45.75" hidden="1">
      <c r="A323" s="16">
        <v>150101</v>
      </c>
      <c r="B323" s="17" t="s">
        <v>82</v>
      </c>
      <c r="C323" s="17" t="s">
        <v>23</v>
      </c>
      <c r="D323" s="19">
        <f>162545-162545</f>
        <v>0</v>
      </c>
      <c r="E323" s="20" t="e">
        <f>100-(F323/D323*100)</f>
        <v>#DIV/0!</v>
      </c>
      <c r="F323" s="19">
        <f>162545-162545</f>
        <v>0</v>
      </c>
      <c r="G323" s="19"/>
      <c r="H323" s="83"/>
      <c r="J323" s="83"/>
    </row>
    <row r="324" spans="1:10" s="22" customFormat="1" ht="30.75" customHeight="1" hidden="1">
      <c r="A324" s="16">
        <v>150101</v>
      </c>
      <c r="B324" s="17" t="s">
        <v>82</v>
      </c>
      <c r="C324" s="17" t="s">
        <v>24</v>
      </c>
      <c r="D324" s="19"/>
      <c r="E324" s="20" t="e">
        <f>100-(F324/D324*100)</f>
        <v>#DIV/0!</v>
      </c>
      <c r="F324" s="19"/>
      <c r="G324" s="21"/>
      <c r="H324" s="83"/>
      <c r="J324" s="83"/>
    </row>
    <row r="325" spans="1:10" s="22" customFormat="1" ht="45.75" customHeight="1" hidden="1">
      <c r="A325" s="16">
        <v>150101</v>
      </c>
      <c r="B325" s="17" t="s">
        <v>82</v>
      </c>
      <c r="C325" s="17" t="s">
        <v>338</v>
      </c>
      <c r="D325" s="19"/>
      <c r="E325" s="20" t="e">
        <f>100-(F325/D325*100)</f>
        <v>#DIV/0!</v>
      </c>
      <c r="F325" s="19"/>
      <c r="G325" s="21"/>
      <c r="H325" s="83"/>
      <c r="J325" s="83"/>
    </row>
    <row r="326" spans="1:10" s="22" customFormat="1" ht="30.75">
      <c r="A326" s="16">
        <v>150101</v>
      </c>
      <c r="B326" s="17" t="s">
        <v>82</v>
      </c>
      <c r="C326" s="17" t="s">
        <v>310</v>
      </c>
      <c r="D326" s="19">
        <v>74116</v>
      </c>
      <c r="E326" s="20"/>
      <c r="F326" s="19">
        <v>74116</v>
      </c>
      <c r="G326" s="21">
        <v>74116</v>
      </c>
      <c r="H326" s="83"/>
      <c r="J326" s="83"/>
    </row>
    <row r="327" spans="1:10" s="22" customFormat="1" ht="30.75" hidden="1">
      <c r="A327" s="16">
        <v>150101</v>
      </c>
      <c r="B327" s="17" t="s">
        <v>82</v>
      </c>
      <c r="C327" s="17" t="s">
        <v>311</v>
      </c>
      <c r="D327" s="19">
        <f>28658-28658</f>
        <v>0</v>
      </c>
      <c r="E327" s="20" t="e">
        <f>100-(F327/D327*100)</f>
        <v>#DIV/0!</v>
      </c>
      <c r="F327" s="19">
        <f>28658-28658</f>
        <v>0</v>
      </c>
      <c r="G327" s="19"/>
      <c r="H327" s="83"/>
      <c r="J327" s="83"/>
    </row>
    <row r="328" spans="1:10" s="22" customFormat="1" ht="15.75">
      <c r="A328" s="16"/>
      <c r="B328" s="17"/>
      <c r="C328" s="17" t="s">
        <v>84</v>
      </c>
      <c r="D328" s="19"/>
      <c r="E328" s="20"/>
      <c r="F328" s="19"/>
      <c r="G328" s="21">
        <v>5679</v>
      </c>
      <c r="H328" s="83"/>
      <c r="J328" s="83"/>
    </row>
    <row r="329" spans="1:10" s="22" customFormat="1" ht="45.75">
      <c r="A329" s="16">
        <v>150101</v>
      </c>
      <c r="B329" s="17" t="s">
        <v>82</v>
      </c>
      <c r="C329" s="17" t="s">
        <v>25</v>
      </c>
      <c r="D329" s="19">
        <v>346600</v>
      </c>
      <c r="E329" s="20"/>
      <c r="F329" s="19">
        <v>346600</v>
      </c>
      <c r="G329" s="21">
        <v>346600</v>
      </c>
      <c r="H329" s="83"/>
      <c r="J329" s="83"/>
    </row>
    <row r="330" spans="1:10" s="22" customFormat="1" ht="15.75" hidden="1">
      <c r="A330" s="16"/>
      <c r="B330" s="17"/>
      <c r="C330" s="17" t="s">
        <v>84</v>
      </c>
      <c r="D330" s="19"/>
      <c r="E330" s="20" t="e">
        <f>100-(F330/D330*100)</f>
        <v>#DIV/0!</v>
      </c>
      <c r="F330" s="19"/>
      <c r="G330" s="21"/>
      <c r="H330" s="83"/>
      <c r="J330" s="83"/>
    </row>
    <row r="331" spans="1:10" s="22" customFormat="1" ht="30.75">
      <c r="A331" s="16">
        <v>150101</v>
      </c>
      <c r="B331" s="17" t="s">
        <v>82</v>
      </c>
      <c r="C331" s="17" t="s">
        <v>153</v>
      </c>
      <c r="D331" s="19">
        <v>159508</v>
      </c>
      <c r="E331" s="20"/>
      <c r="F331" s="19">
        <v>159508</v>
      </c>
      <c r="G331" s="21">
        <v>156014</v>
      </c>
      <c r="H331" s="83"/>
      <c r="J331" s="83"/>
    </row>
    <row r="332" spans="1:10" s="22" customFormat="1" ht="15.75">
      <c r="A332" s="16"/>
      <c r="B332" s="17"/>
      <c r="C332" s="17" t="s">
        <v>84</v>
      </c>
      <c r="D332" s="19"/>
      <c r="E332" s="20"/>
      <c r="F332" s="19"/>
      <c r="G332" s="21">
        <v>156014</v>
      </c>
      <c r="H332" s="83"/>
      <c r="J332" s="83"/>
    </row>
    <row r="333" spans="1:10" s="22" customFormat="1" ht="45.75">
      <c r="A333" s="16">
        <v>150101</v>
      </c>
      <c r="B333" s="17" t="s">
        <v>82</v>
      </c>
      <c r="C333" s="17" t="s">
        <v>118</v>
      </c>
      <c r="D333" s="19">
        <v>176096</v>
      </c>
      <c r="E333" s="20">
        <f>100-(F333/D333*100)</f>
        <v>94.06346538251863</v>
      </c>
      <c r="F333" s="19">
        <v>10454</v>
      </c>
      <c r="G333" s="21">
        <v>852</v>
      </c>
      <c r="H333" s="83"/>
      <c r="J333" s="83"/>
    </row>
    <row r="334" spans="1:10" s="22" customFormat="1" ht="15.75">
      <c r="A334" s="16"/>
      <c r="B334" s="17"/>
      <c r="C334" s="17" t="s">
        <v>84</v>
      </c>
      <c r="D334" s="19"/>
      <c r="E334" s="20"/>
      <c r="F334" s="19"/>
      <c r="G334" s="21">
        <v>852</v>
      </c>
      <c r="H334" s="83"/>
      <c r="J334" s="83"/>
    </row>
    <row r="335" spans="1:10" s="22" customFormat="1" ht="30.75" hidden="1">
      <c r="A335" s="16">
        <v>150101</v>
      </c>
      <c r="B335" s="17" t="s">
        <v>82</v>
      </c>
      <c r="C335" s="17" t="s">
        <v>28</v>
      </c>
      <c r="D335" s="19">
        <f>108000-108000</f>
        <v>0</v>
      </c>
      <c r="E335" s="20" t="e">
        <f>100-(F335/D335*100)</f>
        <v>#DIV/0!</v>
      </c>
      <c r="F335" s="19">
        <f>108000-108000</f>
        <v>0</v>
      </c>
      <c r="G335" s="19"/>
      <c r="H335" s="83"/>
      <c r="J335" s="83"/>
    </row>
    <row r="336" spans="1:10" s="22" customFormat="1" ht="45.75">
      <c r="A336" s="16">
        <v>150101</v>
      </c>
      <c r="B336" s="17" t="s">
        <v>82</v>
      </c>
      <c r="C336" s="17" t="s">
        <v>29</v>
      </c>
      <c r="D336" s="19">
        <v>96100</v>
      </c>
      <c r="E336" s="20"/>
      <c r="F336" s="19">
        <v>96100</v>
      </c>
      <c r="G336" s="21">
        <v>96100</v>
      </c>
      <c r="H336" s="83"/>
      <c r="J336" s="83"/>
    </row>
    <row r="337" spans="1:10" s="22" customFormat="1" ht="30.75">
      <c r="A337" s="16">
        <v>150101</v>
      </c>
      <c r="B337" s="17" t="s">
        <v>82</v>
      </c>
      <c r="C337" s="17" t="s">
        <v>30</v>
      </c>
      <c r="D337" s="19">
        <v>94954</v>
      </c>
      <c r="E337" s="20"/>
      <c r="F337" s="19">
        <v>94954</v>
      </c>
      <c r="G337" s="21">
        <v>94954</v>
      </c>
      <c r="H337" s="83"/>
      <c r="J337" s="83"/>
    </row>
    <row r="338" spans="1:10" s="22" customFormat="1" ht="30.75" hidden="1">
      <c r="A338" s="16">
        <v>150101</v>
      </c>
      <c r="B338" s="17" t="s">
        <v>82</v>
      </c>
      <c r="C338" s="17" t="s">
        <v>31</v>
      </c>
      <c r="D338" s="19">
        <f>88660-88660</f>
        <v>0</v>
      </c>
      <c r="E338" s="20" t="e">
        <f>100-(F338/D338*100)</f>
        <v>#DIV/0!</v>
      </c>
      <c r="F338" s="19">
        <f>88660-88660</f>
        <v>0</v>
      </c>
      <c r="G338" s="19"/>
      <c r="H338" s="83"/>
      <c r="J338" s="83"/>
    </row>
    <row r="339" spans="1:10" s="22" customFormat="1" ht="30.75" hidden="1">
      <c r="A339" s="16">
        <v>150101</v>
      </c>
      <c r="B339" s="17" t="s">
        <v>82</v>
      </c>
      <c r="C339" s="17" t="s">
        <v>35</v>
      </c>
      <c r="D339" s="19"/>
      <c r="E339" s="20" t="e">
        <f>100-(F339/D339*100)</f>
        <v>#DIV/0!</v>
      </c>
      <c r="F339" s="19"/>
      <c r="G339" s="21"/>
      <c r="H339" s="83"/>
      <c r="J339" s="83"/>
    </row>
    <row r="340" spans="1:10" s="22" customFormat="1" ht="30.75">
      <c r="A340" s="16">
        <v>150101</v>
      </c>
      <c r="B340" s="17" t="s">
        <v>82</v>
      </c>
      <c r="C340" s="17" t="s">
        <v>36</v>
      </c>
      <c r="D340" s="19">
        <v>79010</v>
      </c>
      <c r="E340" s="20"/>
      <c r="F340" s="19">
        <v>79010</v>
      </c>
      <c r="G340" s="21">
        <v>79010</v>
      </c>
      <c r="H340" s="83"/>
      <c r="J340" s="83"/>
    </row>
    <row r="341" spans="1:10" s="22" customFormat="1" ht="15.75" hidden="1">
      <c r="A341" s="16"/>
      <c r="B341" s="17"/>
      <c r="C341" s="17" t="s">
        <v>84</v>
      </c>
      <c r="D341" s="19"/>
      <c r="E341" s="20" t="e">
        <f>100-(F341/D341*100)</f>
        <v>#DIV/0!</v>
      </c>
      <c r="F341" s="19"/>
      <c r="G341" s="21"/>
      <c r="H341" s="83"/>
      <c r="J341" s="83"/>
    </row>
    <row r="342" spans="1:10" s="22" customFormat="1" ht="36.75" customHeight="1">
      <c r="A342" s="16">
        <v>150101</v>
      </c>
      <c r="B342" s="17" t="s">
        <v>82</v>
      </c>
      <c r="C342" s="17" t="s">
        <v>46</v>
      </c>
      <c r="D342" s="19">
        <v>87664</v>
      </c>
      <c r="E342" s="20"/>
      <c r="F342" s="19">
        <v>87664</v>
      </c>
      <c r="G342" s="19">
        <v>87664</v>
      </c>
      <c r="H342" s="83"/>
      <c r="J342" s="83"/>
    </row>
    <row r="343" spans="1:10" s="22" customFormat="1" ht="30.75">
      <c r="A343" s="16">
        <v>150101</v>
      </c>
      <c r="B343" s="17" t="s">
        <v>82</v>
      </c>
      <c r="C343" s="17" t="s">
        <v>47</v>
      </c>
      <c r="D343" s="19">
        <v>220506</v>
      </c>
      <c r="E343" s="20">
        <f>100-(F343/D343*100)</f>
        <v>4.26246904846127</v>
      </c>
      <c r="F343" s="19">
        <v>211107</v>
      </c>
      <c r="G343" s="21">
        <v>211107</v>
      </c>
      <c r="H343" s="83"/>
      <c r="J343" s="83"/>
    </row>
    <row r="344" spans="1:10" s="22" customFormat="1" ht="15.75">
      <c r="A344" s="16"/>
      <c r="B344" s="17"/>
      <c r="C344" s="17" t="s">
        <v>84</v>
      </c>
      <c r="D344" s="19"/>
      <c r="E344" s="20"/>
      <c r="F344" s="19"/>
      <c r="G344" s="21">
        <v>1746</v>
      </c>
      <c r="H344" s="83"/>
      <c r="J344" s="83"/>
    </row>
    <row r="345" spans="1:10" s="22" customFormat="1" ht="30.75" hidden="1">
      <c r="A345" s="16">
        <v>150101</v>
      </c>
      <c r="B345" s="17" t="s">
        <v>82</v>
      </c>
      <c r="C345" s="17" t="s">
        <v>51</v>
      </c>
      <c r="D345" s="19"/>
      <c r="E345" s="20" t="e">
        <f>100-(F345/D345*100)</f>
        <v>#DIV/0!</v>
      </c>
      <c r="F345" s="19"/>
      <c r="G345" s="21"/>
      <c r="H345" s="83"/>
      <c r="J345" s="83"/>
    </row>
    <row r="346" spans="1:10" s="22" customFormat="1" ht="15.75" hidden="1">
      <c r="A346" s="16">
        <v>150101</v>
      </c>
      <c r="B346" s="17" t="s">
        <v>82</v>
      </c>
      <c r="C346" s="17" t="s">
        <v>52</v>
      </c>
      <c r="D346" s="19"/>
      <c r="E346" s="20" t="e">
        <f>100-(F346/D346*100)</f>
        <v>#DIV/0!</v>
      </c>
      <c r="F346" s="19"/>
      <c r="G346" s="21"/>
      <c r="H346" s="83"/>
      <c r="J346" s="83"/>
    </row>
    <row r="347" spans="1:10" s="22" customFormat="1" ht="30.75" hidden="1">
      <c r="A347" s="16">
        <v>150101</v>
      </c>
      <c r="B347" s="17" t="s">
        <v>82</v>
      </c>
      <c r="C347" s="17" t="s">
        <v>53</v>
      </c>
      <c r="D347" s="19"/>
      <c r="E347" s="20" t="e">
        <f>100-(F347/D347*100)</f>
        <v>#DIV/0!</v>
      </c>
      <c r="F347" s="19"/>
      <c r="G347" s="21"/>
      <c r="H347" s="83"/>
      <c r="J347" s="83"/>
    </row>
    <row r="348" spans="1:10" s="22" customFormat="1" ht="30.75" hidden="1">
      <c r="A348" s="16">
        <v>150101</v>
      </c>
      <c r="B348" s="17" t="s">
        <v>82</v>
      </c>
      <c r="C348" s="17" t="s">
        <v>54</v>
      </c>
      <c r="D348" s="19"/>
      <c r="E348" s="20" t="e">
        <f>100-(F348/D348*100)</f>
        <v>#DIV/0!</v>
      </c>
      <c r="F348" s="19"/>
      <c r="G348" s="21"/>
      <c r="H348" s="83"/>
      <c r="J348" s="83"/>
    </row>
    <row r="349" spans="1:10" s="22" customFormat="1" ht="30.75" hidden="1">
      <c r="A349" s="16">
        <v>150101</v>
      </c>
      <c r="B349" s="17" t="s">
        <v>82</v>
      </c>
      <c r="C349" s="17" t="s">
        <v>55</v>
      </c>
      <c r="D349" s="19"/>
      <c r="E349" s="20" t="e">
        <f>100-(F349/D349*100)</f>
        <v>#DIV/0!</v>
      </c>
      <c r="F349" s="19"/>
      <c r="G349" s="21"/>
      <c r="H349" s="83"/>
      <c r="J349" s="83"/>
    </row>
    <row r="350" spans="1:10" s="22" customFormat="1" ht="52.5" customHeight="1">
      <c r="A350" s="16">
        <v>150101</v>
      </c>
      <c r="B350" s="17" t="s">
        <v>82</v>
      </c>
      <c r="C350" s="17" t="s">
        <v>120</v>
      </c>
      <c r="D350" s="19">
        <v>469135</v>
      </c>
      <c r="E350" s="20"/>
      <c r="F350" s="19">
        <v>469135</v>
      </c>
      <c r="G350" s="19">
        <v>469135</v>
      </c>
      <c r="H350" s="83"/>
      <c r="J350" s="83"/>
    </row>
    <row r="351" spans="1:10" s="22" customFormat="1" ht="15.75">
      <c r="A351" s="16"/>
      <c r="B351" s="17"/>
      <c r="C351" s="17" t="s">
        <v>84</v>
      </c>
      <c r="D351" s="19"/>
      <c r="E351" s="20"/>
      <c r="F351" s="19"/>
      <c r="G351" s="21">
        <v>16390</v>
      </c>
      <c r="H351" s="83"/>
      <c r="J351" s="83"/>
    </row>
    <row r="352" spans="1:10" s="22" customFormat="1" ht="48" customHeight="1">
      <c r="A352" s="16">
        <v>150101</v>
      </c>
      <c r="B352" s="17" t="s">
        <v>82</v>
      </c>
      <c r="C352" s="17" t="s">
        <v>56</v>
      </c>
      <c r="D352" s="19">
        <v>53803</v>
      </c>
      <c r="E352" s="20">
        <f>100-(F352/D352*100)</f>
        <v>8.473505194877603</v>
      </c>
      <c r="F352" s="19">
        <v>49244</v>
      </c>
      <c r="G352" s="21">
        <v>49244</v>
      </c>
      <c r="H352" s="83"/>
      <c r="J352" s="83"/>
    </row>
    <row r="353" spans="1:10" s="22" customFormat="1" ht="15.75">
      <c r="A353" s="16"/>
      <c r="B353" s="17"/>
      <c r="C353" s="17" t="s">
        <v>84</v>
      </c>
      <c r="D353" s="19"/>
      <c r="E353" s="20"/>
      <c r="F353" s="19"/>
      <c r="G353" s="21">
        <v>1746</v>
      </c>
      <c r="H353" s="83"/>
      <c r="J353" s="83"/>
    </row>
    <row r="354" spans="1:10" s="22" customFormat="1" ht="30.75">
      <c r="A354" s="16">
        <v>150101</v>
      </c>
      <c r="B354" s="17" t="s">
        <v>82</v>
      </c>
      <c r="C354" s="17" t="s">
        <v>57</v>
      </c>
      <c r="D354" s="19">
        <v>113424</v>
      </c>
      <c r="E354" s="20"/>
      <c r="F354" s="19">
        <v>113424</v>
      </c>
      <c r="G354" s="21">
        <v>113424</v>
      </c>
      <c r="H354" s="83"/>
      <c r="J354" s="83"/>
    </row>
    <row r="355" spans="1:10" s="22" customFormat="1" ht="15.75">
      <c r="A355" s="16"/>
      <c r="B355" s="17"/>
      <c r="C355" s="17" t="s">
        <v>84</v>
      </c>
      <c r="D355" s="19"/>
      <c r="E355" s="20"/>
      <c r="F355" s="19"/>
      <c r="G355" s="21">
        <v>6226</v>
      </c>
      <c r="H355" s="83"/>
      <c r="J355" s="83"/>
    </row>
    <row r="356" spans="1:10" s="22" customFormat="1" ht="30.75">
      <c r="A356" s="16">
        <v>150101</v>
      </c>
      <c r="B356" s="17" t="s">
        <v>82</v>
      </c>
      <c r="C356" s="17" t="s">
        <v>60</v>
      </c>
      <c r="D356" s="19">
        <v>72089</v>
      </c>
      <c r="E356" s="20"/>
      <c r="F356" s="19">
        <v>72089</v>
      </c>
      <c r="G356" s="21">
        <v>72089</v>
      </c>
      <c r="H356" s="83"/>
      <c r="J356" s="83"/>
    </row>
    <row r="357" spans="1:10" s="22" customFormat="1" ht="30.75" hidden="1">
      <c r="A357" s="16">
        <v>150101</v>
      </c>
      <c r="B357" s="17" t="s">
        <v>82</v>
      </c>
      <c r="C357" s="17" t="s">
        <v>61</v>
      </c>
      <c r="D357" s="19"/>
      <c r="E357" s="20" t="e">
        <f>100-(F357/D357*100)</f>
        <v>#DIV/0!</v>
      </c>
      <c r="F357" s="19"/>
      <c r="G357" s="21"/>
      <c r="H357" s="83"/>
      <c r="J357" s="83"/>
    </row>
    <row r="358" spans="1:10" s="22" customFormat="1" ht="15.75" hidden="1">
      <c r="A358" s="16"/>
      <c r="B358" s="17"/>
      <c r="C358" s="17" t="s">
        <v>84</v>
      </c>
      <c r="D358" s="19"/>
      <c r="E358" s="20" t="e">
        <f>100-(F358/D358*100)</f>
        <v>#DIV/0!</v>
      </c>
      <c r="F358" s="19"/>
      <c r="G358" s="21"/>
      <c r="H358" s="83"/>
      <c r="J358" s="83"/>
    </row>
    <row r="359" spans="1:10" s="22" customFormat="1" ht="30.75">
      <c r="A359" s="16">
        <v>150101</v>
      </c>
      <c r="B359" s="17" t="s">
        <v>82</v>
      </c>
      <c r="C359" s="17" t="s">
        <v>62</v>
      </c>
      <c r="D359" s="19">
        <v>72216</v>
      </c>
      <c r="E359" s="20">
        <f>100-(F359/D359*100)</f>
        <v>2.417746759720842</v>
      </c>
      <c r="F359" s="19">
        <v>70470</v>
      </c>
      <c r="G359" s="21">
        <v>70470</v>
      </c>
      <c r="H359" s="83"/>
      <c r="J359" s="83"/>
    </row>
    <row r="360" spans="1:10" s="22" customFormat="1" ht="15.75">
      <c r="A360" s="16"/>
      <c r="B360" s="17"/>
      <c r="C360" s="17" t="s">
        <v>84</v>
      </c>
      <c r="D360" s="19"/>
      <c r="E360" s="20"/>
      <c r="F360" s="19"/>
      <c r="G360" s="21">
        <v>1746</v>
      </c>
      <c r="H360" s="83"/>
      <c r="J360" s="83"/>
    </row>
    <row r="361" spans="1:10" s="22" customFormat="1" ht="30.75">
      <c r="A361" s="16">
        <v>150101</v>
      </c>
      <c r="B361" s="17" t="s">
        <v>82</v>
      </c>
      <c r="C361" s="17" t="s">
        <v>63</v>
      </c>
      <c r="D361" s="19">
        <v>31350</v>
      </c>
      <c r="E361" s="20"/>
      <c r="F361" s="19">
        <v>31350</v>
      </c>
      <c r="G361" s="21">
        <v>31350</v>
      </c>
      <c r="H361" s="83"/>
      <c r="J361" s="83"/>
    </row>
    <row r="362" spans="1:10" s="22" customFormat="1" ht="30.75" hidden="1">
      <c r="A362" s="16">
        <v>150101</v>
      </c>
      <c r="B362" s="17" t="s">
        <v>82</v>
      </c>
      <c r="C362" s="17" t="s">
        <v>343</v>
      </c>
      <c r="D362" s="19"/>
      <c r="E362" s="20" t="e">
        <f>100-(F362/D362*100)</f>
        <v>#DIV/0!</v>
      </c>
      <c r="F362" s="19"/>
      <c r="G362" s="21"/>
      <c r="H362" s="83"/>
      <c r="J362" s="83"/>
    </row>
    <row r="363" spans="1:10" s="22" customFormat="1" ht="30.75" hidden="1">
      <c r="A363" s="16">
        <v>150101</v>
      </c>
      <c r="B363" s="17" t="s">
        <v>82</v>
      </c>
      <c r="C363" s="17" t="s">
        <v>409</v>
      </c>
      <c r="D363" s="19"/>
      <c r="E363" s="20" t="e">
        <f>100-(F363/D363*100)</f>
        <v>#DIV/0!</v>
      </c>
      <c r="F363" s="19"/>
      <c r="G363" s="21"/>
      <c r="H363" s="83"/>
      <c r="J363" s="83"/>
    </row>
    <row r="364" spans="1:10" s="22" customFormat="1" ht="15.75">
      <c r="A364" s="16">
        <v>150101</v>
      </c>
      <c r="B364" s="17" t="s">
        <v>82</v>
      </c>
      <c r="C364" s="17" t="s">
        <v>140</v>
      </c>
      <c r="D364" s="19">
        <v>3167064</v>
      </c>
      <c r="E364" s="20"/>
      <c r="F364" s="19">
        <v>3167064</v>
      </c>
      <c r="G364" s="21">
        <v>683802</v>
      </c>
      <c r="H364" s="83"/>
      <c r="J364" s="83"/>
    </row>
    <row r="365" spans="1:10" s="22" customFormat="1" ht="15.75">
      <c r="A365" s="16"/>
      <c r="B365" s="17"/>
      <c r="C365" s="17" t="s">
        <v>84</v>
      </c>
      <c r="D365" s="19"/>
      <c r="E365" s="20"/>
      <c r="F365" s="19"/>
      <c r="G365" s="21">
        <v>183802</v>
      </c>
      <c r="H365" s="83"/>
      <c r="J365" s="83"/>
    </row>
    <row r="366" spans="1:10" s="22" customFormat="1" ht="45.75">
      <c r="A366" s="16">
        <v>150101</v>
      </c>
      <c r="B366" s="17" t="s">
        <v>82</v>
      </c>
      <c r="C366" s="17" t="s">
        <v>312</v>
      </c>
      <c r="D366" s="19">
        <v>911047</v>
      </c>
      <c r="E366" s="20"/>
      <c r="F366" s="19">
        <v>911047</v>
      </c>
      <c r="G366" s="19">
        <v>911047</v>
      </c>
      <c r="H366" s="83"/>
      <c r="J366" s="83"/>
    </row>
    <row r="367" spans="1:10" s="22" customFormat="1" ht="15.75">
      <c r="A367" s="16"/>
      <c r="B367" s="17"/>
      <c r="C367" s="17" t="s">
        <v>84</v>
      </c>
      <c r="D367" s="19"/>
      <c r="E367" s="20"/>
      <c r="F367" s="19"/>
      <c r="G367" s="21">
        <v>23166</v>
      </c>
      <c r="H367" s="83"/>
      <c r="J367" s="83"/>
    </row>
    <row r="368" spans="1:10" s="22" customFormat="1" ht="45.75">
      <c r="A368" s="16">
        <v>150101</v>
      </c>
      <c r="B368" s="17" t="s">
        <v>82</v>
      </c>
      <c r="C368" s="17" t="s">
        <v>313</v>
      </c>
      <c r="D368" s="19">
        <v>520135</v>
      </c>
      <c r="E368" s="20"/>
      <c r="F368" s="19">
        <v>520135</v>
      </c>
      <c r="G368" s="19">
        <v>520135</v>
      </c>
      <c r="H368" s="83"/>
      <c r="J368" s="83"/>
    </row>
    <row r="369" spans="1:10" s="22" customFormat="1" ht="15.75">
      <c r="A369" s="16"/>
      <c r="B369" s="17"/>
      <c r="C369" s="17" t="s">
        <v>84</v>
      </c>
      <c r="D369" s="19"/>
      <c r="E369" s="20"/>
      <c r="F369" s="19"/>
      <c r="G369" s="21">
        <v>20552</v>
      </c>
      <c r="H369" s="83"/>
      <c r="J369" s="83"/>
    </row>
    <row r="370" spans="1:10" s="22" customFormat="1" ht="30.75">
      <c r="A370" s="16">
        <v>150101</v>
      </c>
      <c r="B370" s="17" t="s">
        <v>82</v>
      </c>
      <c r="C370" s="17" t="s">
        <v>339</v>
      </c>
      <c r="D370" s="19">
        <v>36000</v>
      </c>
      <c r="E370" s="20"/>
      <c r="F370" s="19">
        <v>36000</v>
      </c>
      <c r="G370" s="21">
        <v>36000</v>
      </c>
      <c r="H370" s="83"/>
      <c r="J370" s="83"/>
    </row>
    <row r="371" spans="1:10" s="22" customFormat="1" ht="30.75" hidden="1">
      <c r="A371" s="16">
        <v>150101</v>
      </c>
      <c r="B371" s="17" t="s">
        <v>82</v>
      </c>
      <c r="C371" s="17" t="s">
        <v>341</v>
      </c>
      <c r="D371" s="19"/>
      <c r="E371" s="20" t="e">
        <f>100-(F371/D371*100)</f>
        <v>#DIV/0!</v>
      </c>
      <c r="F371" s="19"/>
      <c r="G371" s="21"/>
      <c r="H371" s="83"/>
      <c r="J371" s="83"/>
    </row>
    <row r="372" spans="1:10" s="22" customFormat="1" ht="15.75">
      <c r="A372" s="16"/>
      <c r="B372" s="17"/>
      <c r="C372" s="17" t="s">
        <v>84</v>
      </c>
      <c r="D372" s="19"/>
      <c r="E372" s="20"/>
      <c r="F372" s="19"/>
      <c r="G372" s="21">
        <v>7407</v>
      </c>
      <c r="H372" s="83"/>
      <c r="J372" s="83"/>
    </row>
    <row r="373" spans="1:10" s="22" customFormat="1" ht="45.75">
      <c r="A373" s="16">
        <v>150101</v>
      </c>
      <c r="B373" s="17" t="s">
        <v>82</v>
      </c>
      <c r="C373" s="17" t="s">
        <v>282</v>
      </c>
      <c r="D373" s="19">
        <v>89803</v>
      </c>
      <c r="E373" s="20"/>
      <c r="F373" s="19">
        <v>89803</v>
      </c>
      <c r="G373" s="21">
        <v>89803</v>
      </c>
      <c r="H373" s="83"/>
      <c r="J373" s="83"/>
    </row>
    <row r="374" spans="1:10" s="22" customFormat="1" ht="15.75">
      <c r="A374" s="16"/>
      <c r="B374" s="17"/>
      <c r="C374" s="17" t="s">
        <v>84</v>
      </c>
      <c r="D374" s="19"/>
      <c r="E374" s="20"/>
      <c r="F374" s="19"/>
      <c r="G374" s="21">
        <v>9829</v>
      </c>
      <c r="H374" s="83"/>
      <c r="J374" s="83"/>
    </row>
    <row r="375" spans="1:10" s="22" customFormat="1" ht="15.75" hidden="1">
      <c r="A375" s="16"/>
      <c r="B375" s="17"/>
      <c r="C375" s="17"/>
      <c r="D375" s="19"/>
      <c r="E375" s="20" t="e">
        <f>100-(F375/D375*100)</f>
        <v>#DIV/0!</v>
      </c>
      <c r="F375" s="19"/>
      <c r="G375" s="21"/>
      <c r="H375" s="83"/>
      <c r="J375" s="83"/>
    </row>
    <row r="376" spans="1:10" s="22" customFormat="1" ht="58.5" customHeight="1">
      <c r="A376" s="16">
        <v>150101</v>
      </c>
      <c r="B376" s="17" t="s">
        <v>82</v>
      </c>
      <c r="C376" s="17" t="s">
        <v>321</v>
      </c>
      <c r="D376" s="19">
        <v>560000</v>
      </c>
      <c r="E376" s="20">
        <f>100-(F376/D376*100)</f>
        <v>8.92857142857143</v>
      </c>
      <c r="F376" s="19">
        <v>510000</v>
      </c>
      <c r="G376" s="21">
        <v>8454</v>
      </c>
      <c r="H376" s="83"/>
      <c r="J376" s="83"/>
    </row>
    <row r="377" spans="1:10" s="22" customFormat="1" ht="15.75">
      <c r="A377" s="16"/>
      <c r="B377" s="17"/>
      <c r="C377" s="17" t="s">
        <v>84</v>
      </c>
      <c r="D377" s="19"/>
      <c r="E377" s="20"/>
      <c r="F377" s="19"/>
      <c r="G377" s="21">
        <v>8454</v>
      </c>
      <c r="H377" s="83"/>
      <c r="J377" s="83"/>
    </row>
    <row r="378" spans="1:10" s="22" customFormat="1" ht="30.75">
      <c r="A378" s="16">
        <v>150101</v>
      </c>
      <c r="B378" s="17" t="s">
        <v>82</v>
      </c>
      <c r="C378" s="17" t="s">
        <v>322</v>
      </c>
      <c r="D378" s="19">
        <v>1802026</v>
      </c>
      <c r="E378" s="20">
        <f>100-(F378/D378*100)</f>
        <v>73.00771465006609</v>
      </c>
      <c r="F378" s="19">
        <v>486408</v>
      </c>
      <c r="G378" s="21">
        <v>27000</v>
      </c>
      <c r="H378" s="83"/>
      <c r="J378" s="83"/>
    </row>
    <row r="379" spans="1:10" s="22" customFormat="1" ht="15.75">
      <c r="A379" s="16"/>
      <c r="B379" s="17"/>
      <c r="C379" s="17" t="s">
        <v>84</v>
      </c>
      <c r="D379" s="19"/>
      <c r="E379" s="20"/>
      <c r="F379" s="19"/>
      <c r="G379" s="21">
        <v>27000</v>
      </c>
      <c r="H379" s="83"/>
      <c r="J379" s="83"/>
    </row>
    <row r="380" spans="1:10" s="22" customFormat="1" ht="30.75" hidden="1">
      <c r="A380" s="16">
        <v>150101</v>
      </c>
      <c r="B380" s="17" t="s">
        <v>82</v>
      </c>
      <c r="C380" s="17" t="s">
        <v>323</v>
      </c>
      <c r="D380" s="19"/>
      <c r="E380" s="20"/>
      <c r="F380" s="19"/>
      <c r="G380" s="21"/>
      <c r="H380" s="83"/>
      <c r="J380" s="83"/>
    </row>
    <row r="381" spans="1:10" s="22" customFormat="1" ht="45.75">
      <c r="A381" s="16">
        <v>150101</v>
      </c>
      <c r="B381" s="17" t="s">
        <v>82</v>
      </c>
      <c r="C381" s="17" t="s">
        <v>115</v>
      </c>
      <c r="D381" s="19">
        <v>1500000</v>
      </c>
      <c r="E381" s="20">
        <f>100-(F381/D381*100)</f>
        <v>9.88133333333333</v>
      </c>
      <c r="F381" s="19">
        <v>1351780</v>
      </c>
      <c r="G381" s="21">
        <v>1351780</v>
      </c>
      <c r="H381" s="83"/>
      <c r="J381" s="83"/>
    </row>
    <row r="382" spans="1:10" s="22" customFormat="1" ht="30.75">
      <c r="A382" s="16">
        <v>150101</v>
      </c>
      <c r="B382" s="17" t="s">
        <v>82</v>
      </c>
      <c r="C382" s="17" t="s">
        <v>138</v>
      </c>
      <c r="D382" s="19">
        <v>1200000</v>
      </c>
      <c r="E382" s="20">
        <f aca="true" t="shared" si="2" ref="E382:E420">100-(F382/D382*100)</f>
        <v>3.2348333333333272</v>
      </c>
      <c r="F382" s="19">
        <v>1161182</v>
      </c>
      <c r="G382" s="21">
        <f>46975+38025</f>
        <v>85000</v>
      </c>
      <c r="H382" s="83"/>
      <c r="J382" s="83"/>
    </row>
    <row r="383" spans="1:10" s="22" customFormat="1" ht="15.75">
      <c r="A383" s="16"/>
      <c r="B383" s="17"/>
      <c r="C383" s="17" t="s">
        <v>84</v>
      </c>
      <c r="D383" s="19"/>
      <c r="E383" s="20"/>
      <c r="F383" s="19"/>
      <c r="G383" s="21">
        <v>46975</v>
      </c>
      <c r="H383" s="83"/>
      <c r="J383" s="83"/>
    </row>
    <row r="384" spans="1:10" s="22" customFormat="1" ht="57.75" customHeight="1">
      <c r="A384" s="16">
        <v>150101</v>
      </c>
      <c r="B384" s="17" t="s">
        <v>82</v>
      </c>
      <c r="C384" s="17" t="s">
        <v>325</v>
      </c>
      <c r="D384" s="19">
        <v>19003000</v>
      </c>
      <c r="E384" s="20">
        <f t="shared" si="2"/>
        <v>0.7204388780718887</v>
      </c>
      <c r="F384" s="19">
        <v>18866095</v>
      </c>
      <c r="G384" s="21">
        <v>96397</v>
      </c>
      <c r="H384" s="83"/>
      <c r="J384" s="83"/>
    </row>
    <row r="385" spans="1:10" s="22" customFormat="1" ht="15.75">
      <c r="A385" s="16"/>
      <c r="B385" s="17"/>
      <c r="C385" s="17" t="s">
        <v>84</v>
      </c>
      <c r="D385" s="19"/>
      <c r="E385" s="20"/>
      <c r="F385" s="19"/>
      <c r="G385" s="21">
        <v>96397</v>
      </c>
      <c r="H385" s="83"/>
      <c r="J385" s="83"/>
    </row>
    <row r="386" spans="1:10" s="22" customFormat="1" ht="45.75">
      <c r="A386" s="16">
        <v>150101</v>
      </c>
      <c r="B386" s="17" t="s">
        <v>82</v>
      </c>
      <c r="C386" s="17" t="s">
        <v>331</v>
      </c>
      <c r="D386" s="19">
        <v>376904</v>
      </c>
      <c r="E386" s="20">
        <f t="shared" si="2"/>
        <v>2.881900961518042</v>
      </c>
      <c r="F386" s="19">
        <v>366042</v>
      </c>
      <c r="G386" s="21">
        <v>18385</v>
      </c>
      <c r="H386" s="83"/>
      <c r="J386" s="83"/>
    </row>
    <row r="387" spans="1:10" s="22" customFormat="1" ht="15.75" hidden="1">
      <c r="A387" s="16"/>
      <c r="B387" s="17"/>
      <c r="C387" s="17" t="s">
        <v>84</v>
      </c>
      <c r="D387" s="19"/>
      <c r="E387" s="20" t="e">
        <f t="shared" si="2"/>
        <v>#DIV/0!</v>
      </c>
      <c r="F387" s="19"/>
      <c r="G387" s="21"/>
      <c r="H387" s="83"/>
      <c r="J387" s="83"/>
    </row>
    <row r="388" spans="1:10" s="22" customFormat="1" ht="30.75">
      <c r="A388" s="16">
        <v>150101</v>
      </c>
      <c r="B388" s="17" t="s">
        <v>82</v>
      </c>
      <c r="C388" s="17" t="s">
        <v>330</v>
      </c>
      <c r="D388" s="19">
        <v>6185308</v>
      </c>
      <c r="E388" s="20">
        <f t="shared" si="2"/>
        <v>3.195847320780146</v>
      </c>
      <c r="F388" s="19">
        <v>5987635</v>
      </c>
      <c r="G388" s="21">
        <f>1500000+129984</f>
        <v>1629984</v>
      </c>
      <c r="H388" s="83"/>
      <c r="J388" s="83"/>
    </row>
    <row r="389" spans="1:10" s="22" customFormat="1" ht="15.75">
      <c r="A389" s="16"/>
      <c r="B389" s="17"/>
      <c r="C389" s="17" t="s">
        <v>84</v>
      </c>
      <c r="D389" s="19"/>
      <c r="E389" s="20"/>
      <c r="F389" s="19"/>
      <c r="G389" s="21">
        <v>129984</v>
      </c>
      <c r="H389" s="83"/>
      <c r="J389" s="83"/>
    </row>
    <row r="390" spans="1:10" s="22" customFormat="1" ht="30.75">
      <c r="A390" s="16">
        <v>150101</v>
      </c>
      <c r="B390" s="17" t="s">
        <v>82</v>
      </c>
      <c r="C390" s="17" t="s">
        <v>326</v>
      </c>
      <c r="D390" s="19">
        <v>224328</v>
      </c>
      <c r="E390" s="20">
        <f t="shared" si="2"/>
        <v>12.399700438643407</v>
      </c>
      <c r="F390" s="19">
        <v>196512</v>
      </c>
      <c r="G390" s="21">
        <v>924</v>
      </c>
      <c r="H390" s="83"/>
      <c r="J390" s="83"/>
    </row>
    <row r="391" spans="1:10" s="22" customFormat="1" ht="15.75">
      <c r="A391" s="16"/>
      <c r="B391" s="17"/>
      <c r="C391" s="17" t="s">
        <v>84</v>
      </c>
      <c r="D391" s="19"/>
      <c r="E391" s="20"/>
      <c r="F391" s="19"/>
      <c r="G391" s="21">
        <v>924</v>
      </c>
      <c r="H391" s="83"/>
      <c r="J391" s="83"/>
    </row>
    <row r="392" spans="1:10" s="22" customFormat="1" ht="30.75">
      <c r="A392" s="16">
        <v>150101</v>
      </c>
      <c r="B392" s="17" t="s">
        <v>82</v>
      </c>
      <c r="C392" s="17" t="s">
        <v>327</v>
      </c>
      <c r="D392" s="19">
        <v>206191</v>
      </c>
      <c r="E392" s="20">
        <f t="shared" si="2"/>
        <v>12.054357367683366</v>
      </c>
      <c r="F392" s="19">
        <v>181336</v>
      </c>
      <c r="G392" s="21">
        <v>924</v>
      </c>
      <c r="H392" s="83"/>
      <c r="J392" s="83"/>
    </row>
    <row r="393" spans="1:10" s="22" customFormat="1" ht="15.75">
      <c r="A393" s="16"/>
      <c r="B393" s="17"/>
      <c r="C393" s="17" t="s">
        <v>84</v>
      </c>
      <c r="D393" s="19"/>
      <c r="E393" s="20"/>
      <c r="F393" s="19"/>
      <c r="G393" s="21">
        <v>924</v>
      </c>
      <c r="H393" s="83"/>
      <c r="J393" s="83"/>
    </row>
    <row r="394" spans="1:10" s="22" customFormat="1" ht="30.75">
      <c r="A394" s="16">
        <v>150101</v>
      </c>
      <c r="B394" s="17" t="s">
        <v>82</v>
      </c>
      <c r="C394" s="17" t="s">
        <v>328</v>
      </c>
      <c r="D394" s="19">
        <v>173866</v>
      </c>
      <c r="E394" s="20">
        <f t="shared" si="2"/>
        <v>14.295491930567223</v>
      </c>
      <c r="F394" s="19">
        <v>149011</v>
      </c>
      <c r="G394" s="21">
        <v>924</v>
      </c>
      <c r="H394" s="83"/>
      <c r="J394" s="83"/>
    </row>
    <row r="395" spans="1:10" s="22" customFormat="1" ht="15.75">
      <c r="A395" s="16"/>
      <c r="B395" s="17"/>
      <c r="C395" s="17" t="s">
        <v>84</v>
      </c>
      <c r="D395" s="19"/>
      <c r="E395" s="20"/>
      <c r="F395" s="19"/>
      <c r="G395" s="21">
        <v>924</v>
      </c>
      <c r="H395" s="83"/>
      <c r="J395" s="83"/>
    </row>
    <row r="396" spans="1:10" s="22" customFormat="1" ht="39.75" customHeight="1">
      <c r="A396" s="16">
        <v>150101</v>
      </c>
      <c r="B396" s="17" t="s">
        <v>82</v>
      </c>
      <c r="C396" s="17" t="s">
        <v>34</v>
      </c>
      <c r="D396" s="19">
        <v>199007</v>
      </c>
      <c r="E396" s="20"/>
      <c r="F396" s="19">
        <v>199007</v>
      </c>
      <c r="G396" s="21">
        <v>24306</v>
      </c>
      <c r="H396" s="83"/>
      <c r="J396" s="83"/>
    </row>
    <row r="397" spans="1:10" s="22" customFormat="1" ht="15.75">
      <c r="A397" s="16"/>
      <c r="B397" s="17"/>
      <c r="C397" s="17" t="s">
        <v>84</v>
      </c>
      <c r="D397" s="19"/>
      <c r="E397" s="20"/>
      <c r="F397" s="19"/>
      <c r="G397" s="21">
        <v>24306</v>
      </c>
      <c r="H397" s="83"/>
      <c r="J397" s="83"/>
    </row>
    <row r="398" spans="1:10" s="22" customFormat="1" ht="30.75">
      <c r="A398" s="16">
        <v>150101</v>
      </c>
      <c r="B398" s="17" t="s">
        <v>82</v>
      </c>
      <c r="C398" s="17" t="s">
        <v>37</v>
      </c>
      <c r="D398" s="19">
        <v>170506</v>
      </c>
      <c r="E398" s="20"/>
      <c r="F398" s="19">
        <v>170506</v>
      </c>
      <c r="G398" s="21">
        <f>24305+1</f>
        <v>24306</v>
      </c>
      <c r="H398" s="83"/>
      <c r="J398" s="83"/>
    </row>
    <row r="399" spans="1:10" s="22" customFormat="1" ht="15.75">
      <c r="A399" s="16"/>
      <c r="B399" s="17"/>
      <c r="C399" s="17" t="s">
        <v>84</v>
      </c>
      <c r="D399" s="19"/>
      <c r="E399" s="20"/>
      <c r="F399" s="19"/>
      <c r="G399" s="21">
        <v>24306</v>
      </c>
      <c r="H399" s="83"/>
      <c r="J399" s="83"/>
    </row>
    <row r="400" spans="1:10" s="22" customFormat="1" ht="15.75" hidden="1">
      <c r="A400" s="16"/>
      <c r="B400" s="17"/>
      <c r="C400" s="17"/>
      <c r="D400" s="19"/>
      <c r="E400" s="20" t="e">
        <f t="shared" si="2"/>
        <v>#DIV/0!</v>
      </c>
      <c r="F400" s="19"/>
      <c r="G400" s="21"/>
      <c r="H400" s="83"/>
      <c r="J400" s="83"/>
    </row>
    <row r="401" spans="1:10" s="22" customFormat="1" ht="45.75" hidden="1">
      <c r="A401" s="16">
        <v>150101</v>
      </c>
      <c r="B401" s="17" t="s">
        <v>82</v>
      </c>
      <c r="C401" s="17" t="s">
        <v>329</v>
      </c>
      <c r="D401" s="19"/>
      <c r="E401" s="20" t="e">
        <f t="shared" si="2"/>
        <v>#DIV/0!</v>
      </c>
      <c r="F401" s="19"/>
      <c r="G401" s="21"/>
      <c r="H401" s="83"/>
      <c r="J401" s="83"/>
    </row>
    <row r="402" spans="1:10" s="22" customFormat="1" ht="45.75">
      <c r="A402" s="16">
        <v>150101</v>
      </c>
      <c r="B402" s="17" t="s">
        <v>82</v>
      </c>
      <c r="C402" s="17" t="s">
        <v>38</v>
      </c>
      <c r="D402" s="21">
        <f>1352804-353037</f>
        <v>999767</v>
      </c>
      <c r="E402" s="20"/>
      <c r="F402" s="21">
        <f>1352804-353037</f>
        <v>999767</v>
      </c>
      <c r="G402" s="21">
        <f>96891+68157</f>
        <v>165048</v>
      </c>
      <c r="H402" s="83"/>
      <c r="J402" s="83"/>
    </row>
    <row r="403" spans="1:10" s="22" customFormat="1" ht="15.75">
      <c r="A403" s="16"/>
      <c r="B403" s="17"/>
      <c r="C403" s="17" t="s">
        <v>84</v>
      </c>
      <c r="D403" s="19"/>
      <c r="E403" s="20"/>
      <c r="F403" s="19"/>
      <c r="G403" s="21">
        <v>68158</v>
      </c>
      <c r="H403" s="83"/>
      <c r="J403" s="83"/>
    </row>
    <row r="404" spans="1:10" s="22" customFormat="1" ht="45.75" hidden="1">
      <c r="A404" s="16">
        <v>150101</v>
      </c>
      <c r="B404" s="17" t="s">
        <v>82</v>
      </c>
      <c r="C404" s="17" t="s">
        <v>345</v>
      </c>
      <c r="D404" s="21">
        <v>353037</v>
      </c>
      <c r="E404" s="20">
        <f t="shared" si="2"/>
        <v>0</v>
      </c>
      <c r="F404" s="21">
        <v>353037</v>
      </c>
      <c r="G404" s="21"/>
      <c r="H404" s="83"/>
      <c r="J404" s="83"/>
    </row>
    <row r="405" spans="1:10" s="22" customFormat="1" ht="30.75" hidden="1">
      <c r="A405" s="16">
        <v>150101</v>
      </c>
      <c r="B405" s="17" t="s">
        <v>82</v>
      </c>
      <c r="C405" s="17" t="s">
        <v>334</v>
      </c>
      <c r="D405" s="19"/>
      <c r="E405" s="20" t="e">
        <f t="shared" si="2"/>
        <v>#DIV/0!</v>
      </c>
      <c r="F405" s="19"/>
      <c r="G405" s="21"/>
      <c r="H405" s="83"/>
      <c r="J405" s="83"/>
    </row>
    <row r="406" spans="1:10" s="22" customFormat="1" ht="30.75">
      <c r="A406" s="16">
        <v>150101</v>
      </c>
      <c r="B406" s="17" t="s">
        <v>82</v>
      </c>
      <c r="C406" s="17" t="s">
        <v>335</v>
      </c>
      <c r="D406" s="19">
        <v>160400</v>
      </c>
      <c r="E406" s="20">
        <f t="shared" si="2"/>
        <v>44.421446384039896</v>
      </c>
      <c r="F406" s="19">
        <v>89148</v>
      </c>
      <c r="G406" s="21">
        <f>45357</f>
        <v>45357</v>
      </c>
      <c r="H406" s="83"/>
      <c r="J406" s="83"/>
    </row>
    <row r="407" spans="1:10" s="22" customFormat="1" ht="15.75">
      <c r="A407" s="16"/>
      <c r="B407" s="17"/>
      <c r="C407" s="17" t="s">
        <v>84</v>
      </c>
      <c r="D407" s="19"/>
      <c r="E407" s="20"/>
      <c r="F407" s="19"/>
      <c r="G407" s="21">
        <v>45357</v>
      </c>
      <c r="H407" s="83"/>
      <c r="J407" s="83"/>
    </row>
    <row r="408" spans="1:10" s="22" customFormat="1" ht="45.75">
      <c r="A408" s="16">
        <v>150101</v>
      </c>
      <c r="B408" s="17" t="s">
        <v>82</v>
      </c>
      <c r="C408" s="17" t="s">
        <v>399</v>
      </c>
      <c r="D408" s="21">
        <v>307928</v>
      </c>
      <c r="E408" s="20">
        <f t="shared" si="2"/>
        <v>4.504624457665429</v>
      </c>
      <c r="F408" s="21">
        <v>294057</v>
      </c>
      <c r="G408" s="21">
        <f>161339+132718</f>
        <v>294057</v>
      </c>
      <c r="H408" s="83"/>
      <c r="J408" s="83"/>
    </row>
    <row r="409" spans="1:10" s="22" customFormat="1" ht="15.75">
      <c r="A409" s="16"/>
      <c r="B409" s="17"/>
      <c r="C409" s="17" t="s">
        <v>84</v>
      </c>
      <c r="D409" s="19"/>
      <c r="E409" s="20"/>
      <c r="F409" s="19"/>
      <c r="G409" s="21">
        <v>161339</v>
      </c>
      <c r="H409" s="83"/>
      <c r="J409" s="83"/>
    </row>
    <row r="410" spans="1:10" s="22" customFormat="1" ht="45.75">
      <c r="A410" s="16">
        <v>150101</v>
      </c>
      <c r="B410" s="17" t="s">
        <v>82</v>
      </c>
      <c r="C410" s="17" t="s">
        <v>336</v>
      </c>
      <c r="D410" s="19">
        <v>999431</v>
      </c>
      <c r="E410" s="20"/>
      <c r="F410" s="19">
        <v>999431</v>
      </c>
      <c r="G410" s="21">
        <v>1051</v>
      </c>
      <c r="H410" s="83"/>
      <c r="J410" s="83"/>
    </row>
    <row r="411" spans="1:10" s="22" customFormat="1" ht="15.75">
      <c r="A411" s="16"/>
      <c r="B411" s="17"/>
      <c r="C411" s="17" t="s">
        <v>84</v>
      </c>
      <c r="D411" s="19"/>
      <c r="E411" s="20"/>
      <c r="F411" s="19"/>
      <c r="G411" s="21">
        <v>1051</v>
      </c>
      <c r="H411" s="83"/>
      <c r="J411" s="83"/>
    </row>
    <row r="412" spans="1:10" s="22" customFormat="1" ht="32.25" customHeight="1" hidden="1">
      <c r="A412" s="16"/>
      <c r="B412" s="17"/>
      <c r="C412" s="17" t="s">
        <v>147</v>
      </c>
      <c r="D412" s="19"/>
      <c r="E412" s="20" t="e">
        <f t="shared" si="2"/>
        <v>#DIV/0!</v>
      </c>
      <c r="F412" s="19"/>
      <c r="G412" s="21"/>
      <c r="H412" s="83"/>
      <c r="J412" s="83"/>
    </row>
    <row r="413" spans="1:10" s="22" customFormat="1" ht="15.75" hidden="1">
      <c r="A413" s="16"/>
      <c r="B413" s="17"/>
      <c r="C413" s="17"/>
      <c r="D413" s="19"/>
      <c r="E413" s="20" t="e">
        <f t="shared" si="2"/>
        <v>#DIV/0!</v>
      </c>
      <c r="F413" s="19"/>
      <c r="G413" s="21"/>
      <c r="H413" s="83"/>
      <c r="J413" s="83"/>
    </row>
    <row r="414" spans="1:10" s="22" customFormat="1" ht="45.75">
      <c r="A414" s="16">
        <v>150101</v>
      </c>
      <c r="B414" s="17" t="s">
        <v>82</v>
      </c>
      <c r="C414" s="17" t="s">
        <v>135</v>
      </c>
      <c r="D414" s="19">
        <v>4000000</v>
      </c>
      <c r="E414" s="20"/>
      <c r="F414" s="19">
        <v>4000000</v>
      </c>
      <c r="G414" s="21">
        <f>2075586+124414</f>
        <v>2200000</v>
      </c>
      <c r="H414" s="83"/>
      <c r="J414" s="83"/>
    </row>
    <row r="415" spans="1:10" s="22" customFormat="1" ht="15.75">
      <c r="A415" s="16"/>
      <c r="B415" s="17"/>
      <c r="C415" s="17" t="s">
        <v>84</v>
      </c>
      <c r="D415" s="19"/>
      <c r="E415" s="20"/>
      <c r="F415" s="19"/>
      <c r="G415" s="21">
        <v>124414</v>
      </c>
      <c r="H415" s="83"/>
      <c r="J415" s="83"/>
    </row>
    <row r="416" spans="1:10" s="22" customFormat="1" ht="30.75">
      <c r="A416" s="16">
        <v>150101</v>
      </c>
      <c r="B416" s="17" t="s">
        <v>82</v>
      </c>
      <c r="C416" s="17" t="s">
        <v>85</v>
      </c>
      <c r="D416" s="19">
        <v>194696</v>
      </c>
      <c r="E416" s="20">
        <f t="shared" si="2"/>
        <v>2.0462670008628834</v>
      </c>
      <c r="F416" s="19">
        <v>190712</v>
      </c>
      <c r="G416" s="21">
        <v>178666</v>
      </c>
      <c r="H416" s="83"/>
      <c r="J416" s="83"/>
    </row>
    <row r="417" spans="1:10" s="22" customFormat="1" ht="15.75">
      <c r="A417" s="16"/>
      <c r="B417" s="17"/>
      <c r="C417" s="17" t="s">
        <v>84</v>
      </c>
      <c r="D417" s="19"/>
      <c r="E417" s="20"/>
      <c r="F417" s="19"/>
      <c r="G417" s="21">
        <v>178666</v>
      </c>
      <c r="H417" s="83"/>
      <c r="J417" s="83"/>
    </row>
    <row r="418" spans="1:10" s="22" customFormat="1" ht="45.75">
      <c r="A418" s="57">
        <v>150101</v>
      </c>
      <c r="B418" s="25" t="s">
        <v>82</v>
      </c>
      <c r="C418" s="25" t="s">
        <v>337</v>
      </c>
      <c r="D418" s="21">
        <v>922522</v>
      </c>
      <c r="E418" s="20">
        <f t="shared" si="2"/>
        <v>6.244512325993313</v>
      </c>
      <c r="F418" s="21">
        <v>864915</v>
      </c>
      <c r="G418" s="21">
        <v>20000</v>
      </c>
      <c r="H418" s="83"/>
      <c r="J418" s="83"/>
    </row>
    <row r="419" spans="1:10" s="22" customFormat="1" ht="15.75" hidden="1">
      <c r="A419" s="57"/>
      <c r="B419" s="25"/>
      <c r="C419" s="25" t="s">
        <v>84</v>
      </c>
      <c r="D419" s="21"/>
      <c r="E419" s="58"/>
      <c r="F419" s="21"/>
      <c r="G419" s="21"/>
      <c r="H419" s="83"/>
      <c r="J419" s="83"/>
    </row>
    <row r="420" spans="1:10" s="22" customFormat="1" ht="30.75">
      <c r="A420" s="16">
        <v>150101</v>
      </c>
      <c r="B420" s="17" t="s">
        <v>82</v>
      </c>
      <c r="C420" s="17" t="s">
        <v>136</v>
      </c>
      <c r="D420" s="19">
        <v>14805017</v>
      </c>
      <c r="E420" s="20">
        <f t="shared" si="2"/>
        <v>3.104738076288598</v>
      </c>
      <c r="F420" s="19">
        <v>14345360</v>
      </c>
      <c r="G420" s="21">
        <f>117356+64</f>
        <v>117420</v>
      </c>
      <c r="H420" s="83"/>
      <c r="J420" s="83"/>
    </row>
    <row r="421" spans="1:10" s="22" customFormat="1" ht="15.75">
      <c r="A421" s="16"/>
      <c r="B421" s="17"/>
      <c r="C421" s="25" t="s">
        <v>84</v>
      </c>
      <c r="D421" s="19"/>
      <c r="E421" s="20"/>
      <c r="F421" s="19"/>
      <c r="G421" s="21">
        <v>64</v>
      </c>
      <c r="H421" s="83"/>
      <c r="J421" s="83"/>
    </row>
    <row r="422" spans="1:10" s="22" customFormat="1" ht="30.75">
      <c r="A422" s="16">
        <v>150101</v>
      </c>
      <c r="B422" s="17" t="s">
        <v>82</v>
      </c>
      <c r="C422" s="17" t="s">
        <v>416</v>
      </c>
      <c r="D422" s="21">
        <v>2489880</v>
      </c>
      <c r="E422" s="58">
        <f>100-(F422/D422*100)</f>
        <v>61.53766446575739</v>
      </c>
      <c r="F422" s="21">
        <v>957666</v>
      </c>
      <c r="G422" s="21">
        <f>858080+99586</f>
        <v>957666</v>
      </c>
      <c r="H422" s="83"/>
      <c r="J422" s="83"/>
    </row>
    <row r="423" spans="1:10" s="22" customFormat="1" ht="15.75">
      <c r="A423" s="16"/>
      <c r="B423" s="17"/>
      <c r="C423" s="25" t="s">
        <v>84</v>
      </c>
      <c r="D423" s="19"/>
      <c r="E423" s="58"/>
      <c r="F423" s="19"/>
      <c r="G423" s="21">
        <v>99586</v>
      </c>
      <c r="H423" s="83"/>
      <c r="J423" s="83"/>
    </row>
    <row r="424" spans="1:10" s="22" customFormat="1" ht="30.75">
      <c r="A424" s="16">
        <v>150101</v>
      </c>
      <c r="B424" s="17" t="s">
        <v>82</v>
      </c>
      <c r="C424" s="17" t="s">
        <v>121</v>
      </c>
      <c r="D424" s="19">
        <v>8969880</v>
      </c>
      <c r="E424" s="58">
        <f>100-(F424/D424*100)</f>
        <v>4.974291740803665</v>
      </c>
      <c r="F424" s="19">
        <v>8523692</v>
      </c>
      <c r="G424" s="21">
        <v>40000</v>
      </c>
      <c r="H424" s="83"/>
      <c r="J424" s="83"/>
    </row>
    <row r="425" spans="1:10" s="22" customFormat="1" ht="15.75" hidden="1">
      <c r="A425" s="16"/>
      <c r="B425" s="17"/>
      <c r="C425" s="25" t="s">
        <v>84</v>
      </c>
      <c r="D425" s="19"/>
      <c r="E425" s="58" t="e">
        <f>100-(F425/D425*100)</f>
        <v>#DIV/0!</v>
      </c>
      <c r="F425" s="19"/>
      <c r="G425" s="21"/>
      <c r="H425" s="83"/>
      <c r="J425" s="83"/>
    </row>
    <row r="426" spans="1:10" s="22" customFormat="1" ht="60.75">
      <c r="A426" s="16">
        <v>150101</v>
      </c>
      <c r="B426" s="17" t="s">
        <v>82</v>
      </c>
      <c r="C426" s="25" t="s">
        <v>40</v>
      </c>
      <c r="D426" s="21">
        <v>1217413</v>
      </c>
      <c r="E426" s="58">
        <f>100-(F426/D426*100)</f>
        <v>3.173943435793774</v>
      </c>
      <c r="F426" s="21">
        <v>1178773</v>
      </c>
      <c r="G426" s="21">
        <v>1178773</v>
      </c>
      <c r="H426" s="83"/>
      <c r="J426" s="83"/>
    </row>
    <row r="427" spans="1:10" s="22" customFormat="1" ht="15.75">
      <c r="A427" s="16"/>
      <c r="B427" s="17"/>
      <c r="C427" s="25" t="s">
        <v>84</v>
      </c>
      <c r="D427" s="19"/>
      <c r="E427" s="20"/>
      <c r="F427" s="19"/>
      <c r="G427" s="21">
        <v>132754</v>
      </c>
      <c r="H427" s="83"/>
      <c r="J427" s="83"/>
    </row>
    <row r="428" spans="1:10" s="22" customFormat="1" ht="60.75">
      <c r="A428" s="16">
        <v>150101</v>
      </c>
      <c r="B428" s="17" t="s">
        <v>82</v>
      </c>
      <c r="C428" s="17" t="s">
        <v>274</v>
      </c>
      <c r="D428" s="19">
        <v>10418873</v>
      </c>
      <c r="E428" s="20">
        <f>100-(F428/D428*100)</f>
        <v>2.8591000197430247</v>
      </c>
      <c r="F428" s="19">
        <v>10120987</v>
      </c>
      <c r="G428" s="21">
        <v>49900</v>
      </c>
      <c r="H428" s="83"/>
      <c r="J428" s="83"/>
    </row>
    <row r="429" spans="1:10" s="22" customFormat="1" ht="15.75" hidden="1">
      <c r="A429" s="16"/>
      <c r="B429" s="17"/>
      <c r="C429" s="25" t="s">
        <v>84</v>
      </c>
      <c r="D429" s="19"/>
      <c r="E429" s="20" t="e">
        <f aca="true" t="shared" si="3" ref="E429:E450">100-(F429/D429*100)</f>
        <v>#DIV/0!</v>
      </c>
      <c r="F429" s="19"/>
      <c r="G429" s="21"/>
      <c r="H429" s="83"/>
      <c r="J429" s="83"/>
    </row>
    <row r="430" spans="1:10" s="22" customFormat="1" ht="60.75">
      <c r="A430" s="16">
        <v>150101</v>
      </c>
      <c r="B430" s="17" t="s">
        <v>82</v>
      </c>
      <c r="C430" s="25" t="s">
        <v>137</v>
      </c>
      <c r="D430" s="19">
        <v>53341</v>
      </c>
      <c r="E430" s="20"/>
      <c r="F430" s="19">
        <v>53341</v>
      </c>
      <c r="G430" s="21">
        <v>53341</v>
      </c>
      <c r="H430" s="83"/>
      <c r="J430" s="83"/>
    </row>
    <row r="431" spans="1:10" s="22" customFormat="1" ht="45.75">
      <c r="A431" s="16">
        <v>150101</v>
      </c>
      <c r="B431" s="17" t="s">
        <v>82</v>
      </c>
      <c r="C431" s="17" t="s">
        <v>417</v>
      </c>
      <c r="D431" s="19">
        <v>3268607</v>
      </c>
      <c r="E431" s="20">
        <f t="shared" si="3"/>
        <v>61.49787967779547</v>
      </c>
      <c r="F431" s="19">
        <v>1258483</v>
      </c>
      <c r="G431" s="21">
        <v>30000</v>
      </c>
      <c r="H431" s="83"/>
      <c r="J431" s="83"/>
    </row>
    <row r="432" spans="1:10" s="22" customFormat="1" ht="15.75" hidden="1">
      <c r="A432" s="16"/>
      <c r="B432" s="17"/>
      <c r="C432" s="25" t="s">
        <v>84</v>
      </c>
      <c r="D432" s="19"/>
      <c r="E432" s="20" t="e">
        <f t="shared" si="3"/>
        <v>#DIV/0!</v>
      </c>
      <c r="F432" s="19"/>
      <c r="G432" s="21"/>
      <c r="H432" s="83"/>
      <c r="J432" s="83"/>
    </row>
    <row r="433" spans="1:10" s="22" customFormat="1" ht="30.75">
      <c r="A433" s="16">
        <v>150101</v>
      </c>
      <c r="B433" s="17" t="s">
        <v>82</v>
      </c>
      <c r="C433" s="17" t="s">
        <v>107</v>
      </c>
      <c r="D433" s="19">
        <v>11704046</v>
      </c>
      <c r="E433" s="20">
        <f t="shared" si="3"/>
        <v>1.7240021100395637</v>
      </c>
      <c r="F433" s="19">
        <v>11502268</v>
      </c>
      <c r="G433" s="21">
        <f>10000+23907</f>
        <v>33907</v>
      </c>
      <c r="H433" s="83"/>
      <c r="J433" s="83"/>
    </row>
    <row r="434" spans="1:10" s="22" customFormat="1" ht="15.75">
      <c r="A434" s="16"/>
      <c r="B434" s="17"/>
      <c r="C434" s="25" t="s">
        <v>84</v>
      </c>
      <c r="D434" s="19"/>
      <c r="E434" s="20"/>
      <c r="F434" s="19"/>
      <c r="G434" s="21">
        <v>23907</v>
      </c>
      <c r="H434" s="83"/>
      <c r="J434" s="83"/>
    </row>
    <row r="435" spans="1:10" s="22" customFormat="1" ht="30.75">
      <c r="A435" s="16">
        <v>150101</v>
      </c>
      <c r="B435" s="17" t="s">
        <v>82</v>
      </c>
      <c r="C435" s="17" t="s">
        <v>105</v>
      </c>
      <c r="D435" s="19">
        <v>344158</v>
      </c>
      <c r="E435" s="20">
        <f t="shared" si="3"/>
        <v>78.11354087366848</v>
      </c>
      <c r="F435" s="19">
        <v>75324</v>
      </c>
      <c r="G435" s="21">
        <f>46863</f>
        <v>46863</v>
      </c>
      <c r="H435" s="83"/>
      <c r="J435" s="83"/>
    </row>
    <row r="436" spans="1:10" s="22" customFormat="1" ht="15.75">
      <c r="A436" s="16"/>
      <c r="B436" s="17"/>
      <c r="C436" s="25" t="s">
        <v>84</v>
      </c>
      <c r="D436" s="19"/>
      <c r="E436" s="20"/>
      <c r="F436" s="19"/>
      <c r="G436" s="21">
        <v>46863</v>
      </c>
      <c r="H436" s="83"/>
      <c r="J436" s="83"/>
    </row>
    <row r="437" spans="1:10" s="22" customFormat="1" ht="76.5" customHeight="1">
      <c r="A437" s="16">
        <v>150101</v>
      </c>
      <c r="B437" s="17" t="s">
        <v>82</v>
      </c>
      <c r="C437" s="17" t="s">
        <v>124</v>
      </c>
      <c r="D437" s="19">
        <v>26444077</v>
      </c>
      <c r="E437" s="20">
        <f t="shared" si="3"/>
        <v>63.24645779847033</v>
      </c>
      <c r="F437" s="19">
        <v>9719135</v>
      </c>
      <c r="G437" s="21">
        <v>57920</v>
      </c>
      <c r="H437" s="83"/>
      <c r="J437" s="83"/>
    </row>
    <row r="438" spans="1:10" s="22" customFormat="1" ht="30.75">
      <c r="A438" s="16">
        <v>150101</v>
      </c>
      <c r="B438" s="17" t="s">
        <v>82</v>
      </c>
      <c r="C438" s="17" t="s">
        <v>106</v>
      </c>
      <c r="D438" s="19">
        <v>389279</v>
      </c>
      <c r="E438" s="20">
        <f t="shared" si="3"/>
        <v>82.41441228527611</v>
      </c>
      <c r="F438" s="19">
        <v>68457</v>
      </c>
      <c r="G438" s="21">
        <v>654</v>
      </c>
      <c r="H438" s="83"/>
      <c r="J438" s="83"/>
    </row>
    <row r="439" spans="1:10" s="22" customFormat="1" ht="15.75">
      <c r="A439" s="16"/>
      <c r="B439" s="17"/>
      <c r="C439" s="17" t="s">
        <v>84</v>
      </c>
      <c r="D439" s="19"/>
      <c r="E439" s="20"/>
      <c r="F439" s="19"/>
      <c r="G439" s="21">
        <v>654</v>
      </c>
      <c r="H439" s="83"/>
      <c r="J439" s="83"/>
    </row>
    <row r="440" spans="1:10" s="22" customFormat="1" ht="30.75">
      <c r="A440" s="16">
        <v>150101</v>
      </c>
      <c r="B440" s="17" t="s">
        <v>82</v>
      </c>
      <c r="C440" s="17" t="s">
        <v>108</v>
      </c>
      <c r="D440" s="19">
        <v>200000</v>
      </c>
      <c r="E440" s="20">
        <f t="shared" si="3"/>
        <v>0.24750000000000227</v>
      </c>
      <c r="F440" s="21">
        <v>199505</v>
      </c>
      <c r="G440" s="21">
        <v>71420</v>
      </c>
      <c r="H440" s="83"/>
      <c r="J440" s="83"/>
    </row>
    <row r="441" spans="1:10" s="22" customFormat="1" ht="15.75">
      <c r="A441" s="16"/>
      <c r="B441" s="17"/>
      <c r="C441" s="17" t="s">
        <v>84</v>
      </c>
      <c r="D441" s="19"/>
      <c r="E441" s="20"/>
      <c r="F441" s="19"/>
      <c r="G441" s="21">
        <v>71420</v>
      </c>
      <c r="H441" s="83"/>
      <c r="J441" s="83"/>
    </row>
    <row r="442" spans="1:10" s="22" customFormat="1" ht="30.75">
      <c r="A442" s="16">
        <v>150101</v>
      </c>
      <c r="B442" s="17" t="s">
        <v>82</v>
      </c>
      <c r="C442" s="17" t="s">
        <v>139</v>
      </c>
      <c r="D442" s="19">
        <v>500000</v>
      </c>
      <c r="E442" s="20"/>
      <c r="F442" s="19">
        <v>500000</v>
      </c>
      <c r="G442" s="21">
        <f>341310+99365</f>
        <v>440675</v>
      </c>
      <c r="H442" s="83"/>
      <c r="J442" s="83"/>
    </row>
    <row r="443" spans="1:10" s="22" customFormat="1" ht="15.75">
      <c r="A443" s="16"/>
      <c r="B443" s="17"/>
      <c r="C443" s="17" t="s">
        <v>84</v>
      </c>
      <c r="D443" s="19"/>
      <c r="E443" s="20"/>
      <c r="F443" s="19"/>
      <c r="G443" s="21">
        <v>99365</v>
      </c>
      <c r="H443" s="83"/>
      <c r="J443" s="83"/>
    </row>
    <row r="444" spans="1:10" s="22" customFormat="1" ht="30.75">
      <c r="A444" s="16">
        <v>150101</v>
      </c>
      <c r="B444" s="17" t="s">
        <v>82</v>
      </c>
      <c r="C444" s="17" t="s">
        <v>418</v>
      </c>
      <c r="D444" s="21">
        <v>4027730</v>
      </c>
      <c r="E444" s="20">
        <f t="shared" si="3"/>
        <v>62.10771327770233</v>
      </c>
      <c r="F444" s="21">
        <v>1526199</v>
      </c>
      <c r="G444" s="21">
        <v>1526199</v>
      </c>
      <c r="H444" s="83"/>
      <c r="J444" s="83"/>
    </row>
    <row r="445" spans="1:10" s="22" customFormat="1" ht="15.75">
      <c r="A445" s="16"/>
      <c r="B445" s="17"/>
      <c r="C445" s="17" t="s">
        <v>84</v>
      </c>
      <c r="D445" s="19"/>
      <c r="E445" s="20"/>
      <c r="F445" s="19"/>
      <c r="G445" s="21">
        <v>848634</v>
      </c>
      <c r="H445" s="83"/>
      <c r="J445" s="83"/>
    </row>
    <row r="446" spans="1:10" s="22" customFormat="1" ht="33" customHeight="1" hidden="1">
      <c r="A446" s="16">
        <v>150101</v>
      </c>
      <c r="B446" s="17" t="s">
        <v>82</v>
      </c>
      <c r="C446" s="17" t="s">
        <v>419</v>
      </c>
      <c r="D446" s="19"/>
      <c r="E446" s="20" t="e">
        <f t="shared" si="3"/>
        <v>#DIV/0!</v>
      </c>
      <c r="F446" s="19"/>
      <c r="G446" s="21"/>
      <c r="H446" s="83"/>
      <c r="J446" s="83"/>
    </row>
    <row r="447" spans="1:10" s="22" customFormat="1" ht="29.25" customHeight="1" hidden="1">
      <c r="A447" s="16">
        <v>150101</v>
      </c>
      <c r="B447" s="17" t="s">
        <v>82</v>
      </c>
      <c r="C447" s="17" t="s">
        <v>0</v>
      </c>
      <c r="D447" s="19"/>
      <c r="E447" s="20" t="e">
        <f t="shared" si="3"/>
        <v>#DIV/0!</v>
      </c>
      <c r="F447" s="19"/>
      <c r="G447" s="21"/>
      <c r="H447" s="83"/>
      <c r="J447" s="83"/>
    </row>
    <row r="448" spans="1:10" s="22" customFormat="1" ht="45.75">
      <c r="A448" s="16">
        <v>150101</v>
      </c>
      <c r="B448" s="17" t="s">
        <v>82</v>
      </c>
      <c r="C448" s="17" t="s">
        <v>425</v>
      </c>
      <c r="D448" s="19">
        <v>600000</v>
      </c>
      <c r="E448" s="20">
        <f t="shared" si="3"/>
        <v>0.2580000000000098</v>
      </c>
      <c r="F448" s="19">
        <v>598452</v>
      </c>
      <c r="G448" s="21">
        <f>500000+81531</f>
        <v>581531</v>
      </c>
      <c r="H448" s="83"/>
      <c r="J448" s="83"/>
    </row>
    <row r="449" spans="1:10" s="22" customFormat="1" ht="15.75">
      <c r="A449" s="16"/>
      <c r="B449" s="17"/>
      <c r="C449" s="17" t="s">
        <v>84</v>
      </c>
      <c r="D449" s="19"/>
      <c r="E449" s="20"/>
      <c r="F449" s="19"/>
      <c r="G449" s="21">
        <v>81531</v>
      </c>
      <c r="H449" s="83"/>
      <c r="J449" s="83"/>
    </row>
    <row r="450" spans="1:10" s="22" customFormat="1" ht="45.75">
      <c r="A450" s="16">
        <v>150101</v>
      </c>
      <c r="B450" s="17" t="s">
        <v>82</v>
      </c>
      <c r="C450" s="17" t="s">
        <v>18</v>
      </c>
      <c r="D450" s="19">
        <v>1087000</v>
      </c>
      <c r="E450" s="20">
        <f t="shared" si="3"/>
        <v>41.46844526218951</v>
      </c>
      <c r="F450" s="19">
        <v>636238</v>
      </c>
      <c r="G450" s="43">
        <f>239248+396990</f>
        <v>636238</v>
      </c>
      <c r="H450" s="83"/>
      <c r="J450" s="83"/>
    </row>
    <row r="451" spans="1:10" s="22" customFormat="1" ht="15.75">
      <c r="A451" s="16"/>
      <c r="B451" s="17"/>
      <c r="C451" s="17" t="s">
        <v>84</v>
      </c>
      <c r="D451" s="19"/>
      <c r="E451" s="20"/>
      <c r="F451" s="19"/>
      <c r="G451" s="21">
        <v>396990</v>
      </c>
      <c r="H451" s="83"/>
      <c r="J451" s="83"/>
    </row>
    <row r="452" spans="1:10" s="22" customFormat="1" ht="45.75">
      <c r="A452" s="16">
        <v>150101</v>
      </c>
      <c r="B452" s="17" t="s">
        <v>82</v>
      </c>
      <c r="C452" s="17" t="s">
        <v>273</v>
      </c>
      <c r="D452" s="19">
        <v>183104</v>
      </c>
      <c r="E452" s="20">
        <v>35.1</v>
      </c>
      <c r="F452" s="19">
        <v>118764</v>
      </c>
      <c r="G452" s="21">
        <v>57660</v>
      </c>
      <c r="H452" s="83"/>
      <c r="J452" s="83"/>
    </row>
    <row r="453" spans="1:10" s="22" customFormat="1" ht="15.75">
      <c r="A453" s="16"/>
      <c r="B453" s="17"/>
      <c r="C453" s="17" t="s">
        <v>84</v>
      </c>
      <c r="D453" s="19"/>
      <c r="E453" s="20"/>
      <c r="F453" s="19"/>
      <c r="G453" s="21">
        <v>57660</v>
      </c>
      <c r="H453" s="83"/>
      <c r="J453" s="83"/>
    </row>
    <row r="454" spans="1:10" s="22" customFormat="1" ht="69" customHeight="1">
      <c r="A454" s="16">
        <v>150101</v>
      </c>
      <c r="B454" s="17" t="s">
        <v>82</v>
      </c>
      <c r="C454" s="17" t="s">
        <v>116</v>
      </c>
      <c r="D454" s="19">
        <v>1108840</v>
      </c>
      <c r="E454" s="20"/>
      <c r="F454" s="19">
        <v>1108840</v>
      </c>
      <c r="G454" s="21">
        <v>400000</v>
      </c>
      <c r="H454" s="83"/>
      <c r="J454" s="83"/>
    </row>
    <row r="455" spans="1:10" s="22" customFormat="1" ht="30.75">
      <c r="A455" s="16" t="s">
        <v>332</v>
      </c>
      <c r="B455" s="17" t="s">
        <v>333</v>
      </c>
      <c r="C455" s="17" t="s">
        <v>333</v>
      </c>
      <c r="D455" s="19"/>
      <c r="E455" s="20"/>
      <c r="F455" s="19"/>
      <c r="G455" s="21">
        <v>1717630</v>
      </c>
      <c r="H455" s="83"/>
      <c r="J455" s="83"/>
    </row>
    <row r="456" spans="1:10" s="22" customFormat="1" ht="15.75">
      <c r="A456" s="16"/>
      <c r="B456" s="17"/>
      <c r="C456" s="17" t="s">
        <v>84</v>
      </c>
      <c r="D456" s="19"/>
      <c r="E456" s="20"/>
      <c r="F456" s="19"/>
      <c r="G456" s="21">
        <v>1717630</v>
      </c>
      <c r="H456" s="83"/>
      <c r="J456" s="83"/>
    </row>
    <row r="457" spans="1:10" s="22" customFormat="1" ht="30.75">
      <c r="A457" s="16">
        <v>180409</v>
      </c>
      <c r="B457" s="17" t="s">
        <v>346</v>
      </c>
      <c r="C457" s="17" t="s">
        <v>363</v>
      </c>
      <c r="D457" s="19"/>
      <c r="E457" s="20"/>
      <c r="F457" s="19"/>
      <c r="G457" s="21">
        <f>SUM(G459:G463)</f>
        <v>2444980</v>
      </c>
      <c r="H457" s="83"/>
      <c r="J457" s="83"/>
    </row>
    <row r="458" spans="1:10" s="22" customFormat="1" ht="15.75">
      <c r="A458" s="16"/>
      <c r="B458" s="17"/>
      <c r="C458" s="17" t="s">
        <v>1</v>
      </c>
      <c r="D458" s="19"/>
      <c r="E458" s="20"/>
      <c r="F458" s="19"/>
      <c r="G458" s="21"/>
      <c r="H458" s="83"/>
      <c r="J458" s="83"/>
    </row>
    <row r="459" spans="1:10" s="22" customFormat="1" ht="15.75" hidden="1">
      <c r="A459" s="16"/>
      <c r="B459" s="17"/>
      <c r="C459" s="23"/>
      <c r="D459" s="19"/>
      <c r="E459" s="20"/>
      <c r="F459" s="19"/>
      <c r="G459" s="21"/>
      <c r="H459" s="83"/>
      <c r="J459" s="83"/>
    </row>
    <row r="460" spans="1:10" s="22" customFormat="1" ht="60">
      <c r="A460" s="16"/>
      <c r="B460" s="17"/>
      <c r="C460" s="23" t="s">
        <v>351</v>
      </c>
      <c r="D460" s="19"/>
      <c r="E460" s="20"/>
      <c r="F460" s="19"/>
      <c r="G460" s="21">
        <v>1140860</v>
      </c>
      <c r="H460" s="83"/>
      <c r="J460" s="83"/>
    </row>
    <row r="461" spans="1:10" s="22" customFormat="1" ht="16.5" customHeight="1">
      <c r="A461" s="16"/>
      <c r="B461" s="17"/>
      <c r="C461" s="23" t="s">
        <v>50</v>
      </c>
      <c r="D461" s="19"/>
      <c r="E461" s="20"/>
      <c r="F461" s="19"/>
      <c r="G461" s="21">
        <v>506620</v>
      </c>
      <c r="H461" s="83"/>
      <c r="J461" s="83"/>
    </row>
    <row r="462" spans="1:10" s="22" customFormat="1" ht="30">
      <c r="A462" s="16"/>
      <c r="B462" s="17"/>
      <c r="C462" s="18" t="s">
        <v>127</v>
      </c>
      <c r="D462" s="19"/>
      <c r="E462" s="20"/>
      <c r="F462" s="19"/>
      <c r="G462" s="21">
        <v>797500</v>
      </c>
      <c r="H462" s="83"/>
      <c r="J462" s="83"/>
    </row>
    <row r="463" spans="1:10" s="22" customFormat="1" ht="30" hidden="1">
      <c r="A463" s="16"/>
      <c r="B463" s="17"/>
      <c r="C463" s="24" t="s">
        <v>411</v>
      </c>
      <c r="D463" s="19"/>
      <c r="E463" s="20"/>
      <c r="F463" s="19"/>
      <c r="G463" s="21"/>
      <c r="H463" s="83"/>
      <c r="J463" s="83"/>
    </row>
    <row r="464" spans="1:10" s="22" customFormat="1" ht="45" hidden="1">
      <c r="A464" s="16"/>
      <c r="B464" s="17"/>
      <c r="C464" s="24" t="s">
        <v>426</v>
      </c>
      <c r="D464" s="19"/>
      <c r="E464" s="20"/>
      <c r="F464" s="19"/>
      <c r="G464" s="21"/>
      <c r="H464" s="83"/>
      <c r="J464" s="83"/>
    </row>
    <row r="465" spans="1:10" s="22" customFormat="1" ht="30.75">
      <c r="A465" s="16">
        <v>180409</v>
      </c>
      <c r="B465" s="17" t="s">
        <v>346</v>
      </c>
      <c r="C465" s="17" t="s">
        <v>8</v>
      </c>
      <c r="D465" s="19"/>
      <c r="E465" s="20"/>
      <c r="F465" s="19"/>
      <c r="G465" s="21">
        <f>SUM(G467:G473)</f>
        <v>6469853</v>
      </c>
      <c r="H465" s="83"/>
      <c r="J465" s="83"/>
    </row>
    <row r="466" spans="1:10" s="22" customFormat="1" ht="15.75">
      <c r="A466" s="16"/>
      <c r="B466" s="17"/>
      <c r="C466" s="17" t="s">
        <v>1</v>
      </c>
      <c r="D466" s="19"/>
      <c r="E466" s="20"/>
      <c r="F466" s="19"/>
      <c r="G466" s="21"/>
      <c r="H466" s="83"/>
      <c r="J466" s="83"/>
    </row>
    <row r="467" spans="1:10" s="22" customFormat="1" ht="75">
      <c r="A467" s="16"/>
      <c r="B467" s="17"/>
      <c r="C467" s="23" t="s">
        <v>340</v>
      </c>
      <c r="D467" s="19"/>
      <c r="E467" s="20"/>
      <c r="F467" s="19"/>
      <c r="G467" s="21">
        <v>1458000</v>
      </c>
      <c r="H467" s="83"/>
      <c r="J467" s="83"/>
    </row>
    <row r="468" spans="1:10" s="22" customFormat="1" ht="33" customHeight="1">
      <c r="A468" s="16"/>
      <c r="B468" s="17"/>
      <c r="C468" s="23" t="s">
        <v>410</v>
      </c>
      <c r="D468" s="19"/>
      <c r="E468" s="20"/>
      <c r="F468" s="19"/>
      <c r="G468" s="21">
        <v>174500</v>
      </c>
      <c r="H468" s="83"/>
      <c r="J468" s="83"/>
    </row>
    <row r="469" spans="1:10" s="22" customFormat="1" ht="96" customHeight="1">
      <c r="A469" s="16"/>
      <c r="B469" s="17"/>
      <c r="C469" s="23" t="s">
        <v>133</v>
      </c>
      <c r="D469" s="19"/>
      <c r="E469" s="20"/>
      <c r="F469" s="19"/>
      <c r="G469" s="21">
        <v>1222580</v>
      </c>
      <c r="H469" s="83"/>
      <c r="J469" s="83"/>
    </row>
    <row r="470" spans="1:10" s="22" customFormat="1" ht="30">
      <c r="A470" s="16"/>
      <c r="B470" s="17"/>
      <c r="C470" s="18" t="s">
        <v>254</v>
      </c>
      <c r="D470" s="19"/>
      <c r="E470" s="20"/>
      <c r="F470" s="19"/>
      <c r="G470" s="21">
        <v>1890600</v>
      </c>
      <c r="H470" s="83"/>
      <c r="J470" s="83"/>
    </row>
    <row r="471" spans="1:10" s="22" customFormat="1" ht="30">
      <c r="A471" s="16"/>
      <c r="B471" s="17"/>
      <c r="C471" s="24" t="s">
        <v>411</v>
      </c>
      <c r="D471" s="19"/>
      <c r="E471" s="20"/>
      <c r="F471" s="19"/>
      <c r="G471" s="21">
        <v>1498800</v>
      </c>
      <c r="H471" s="83"/>
      <c r="J471" s="83"/>
    </row>
    <row r="472" spans="1:10" s="22" customFormat="1" ht="45">
      <c r="A472" s="16"/>
      <c r="B472" s="17"/>
      <c r="C472" s="24" t="s">
        <v>426</v>
      </c>
      <c r="D472" s="19"/>
      <c r="E472" s="20"/>
      <c r="F472" s="19"/>
      <c r="G472" s="21">
        <v>225373</v>
      </c>
      <c r="H472" s="83"/>
      <c r="J472" s="83"/>
    </row>
    <row r="473" spans="1:10" s="22" customFormat="1" ht="15.75">
      <c r="A473" s="16"/>
      <c r="B473" s="17"/>
      <c r="C473" s="23"/>
      <c r="D473" s="19"/>
      <c r="E473" s="20"/>
      <c r="F473" s="19"/>
      <c r="G473" s="21"/>
      <c r="H473" s="83"/>
      <c r="J473" s="83"/>
    </row>
    <row r="474" spans="1:10" s="29" customFormat="1" ht="31.5" hidden="1">
      <c r="A474" s="26">
        <v>41</v>
      </c>
      <c r="B474" s="27" t="s">
        <v>347</v>
      </c>
      <c r="C474" s="27" t="s">
        <v>354</v>
      </c>
      <c r="D474" s="28"/>
      <c r="E474" s="28"/>
      <c r="F474" s="28"/>
      <c r="G474" s="31">
        <f>G475</f>
        <v>0</v>
      </c>
      <c r="H474" s="82"/>
      <c r="J474" s="82"/>
    </row>
    <row r="475" spans="1:10" s="29" customFormat="1" ht="15.75" hidden="1">
      <c r="A475" s="16" t="s">
        <v>79</v>
      </c>
      <c r="B475" s="17" t="s">
        <v>80</v>
      </c>
      <c r="C475" s="63"/>
      <c r="D475" s="31"/>
      <c r="E475" s="31"/>
      <c r="F475" s="31"/>
      <c r="G475" s="31"/>
      <c r="H475" s="82"/>
      <c r="J475" s="82"/>
    </row>
    <row r="476" spans="1:10" s="22" customFormat="1" ht="31.5" hidden="1">
      <c r="A476" s="26">
        <v>43</v>
      </c>
      <c r="B476" s="27" t="s">
        <v>355</v>
      </c>
      <c r="C476" s="27"/>
      <c r="D476" s="27"/>
      <c r="E476" s="27"/>
      <c r="F476" s="27"/>
      <c r="G476" s="64">
        <f>SUM(G477:G480)</f>
        <v>0</v>
      </c>
      <c r="H476" s="83"/>
      <c r="J476" s="83"/>
    </row>
    <row r="477" spans="1:10" s="22" customFormat="1" ht="15.75" hidden="1">
      <c r="A477" s="16" t="s">
        <v>79</v>
      </c>
      <c r="B477" s="17" t="s">
        <v>80</v>
      </c>
      <c r="C477" s="17"/>
      <c r="D477" s="19"/>
      <c r="E477" s="20"/>
      <c r="F477" s="19"/>
      <c r="G477" s="21"/>
      <c r="H477" s="83"/>
      <c r="J477" s="83"/>
    </row>
    <row r="478" spans="1:10" s="22" customFormat="1" ht="31.5" hidden="1">
      <c r="A478" s="65" t="s">
        <v>304</v>
      </c>
      <c r="B478" s="66" t="s">
        <v>305</v>
      </c>
      <c r="C478" s="17"/>
      <c r="D478" s="19"/>
      <c r="E478" s="20"/>
      <c r="F478" s="19"/>
      <c r="G478" s="21"/>
      <c r="H478" s="83"/>
      <c r="J478" s="83"/>
    </row>
    <row r="479" spans="1:10" s="22" customFormat="1" ht="15.75" hidden="1">
      <c r="A479" s="65" t="s">
        <v>356</v>
      </c>
      <c r="B479" s="66" t="s">
        <v>306</v>
      </c>
      <c r="C479" s="17"/>
      <c r="D479" s="19"/>
      <c r="E479" s="20"/>
      <c r="F479" s="19"/>
      <c r="G479" s="21"/>
      <c r="H479" s="83"/>
      <c r="J479" s="83"/>
    </row>
    <row r="480" spans="1:10" s="22" customFormat="1" ht="15.75" hidden="1">
      <c r="A480" s="16" t="s">
        <v>307</v>
      </c>
      <c r="B480" s="17" t="s">
        <v>308</v>
      </c>
      <c r="C480" s="17"/>
      <c r="D480" s="19"/>
      <c r="E480" s="20"/>
      <c r="F480" s="19"/>
      <c r="G480" s="21"/>
      <c r="H480" s="83"/>
      <c r="J480" s="83"/>
    </row>
    <row r="481" spans="1:10" s="29" customFormat="1" ht="31.5">
      <c r="A481" s="26" t="s">
        <v>357</v>
      </c>
      <c r="B481" s="27" t="s">
        <v>358</v>
      </c>
      <c r="C481" s="27"/>
      <c r="D481" s="28"/>
      <c r="E481" s="30"/>
      <c r="F481" s="28"/>
      <c r="G481" s="28">
        <f>G482</f>
        <v>61915</v>
      </c>
      <c r="H481" s="80">
        <f>'[2]Місто'!$K$337-G481</f>
        <v>0</v>
      </c>
      <c r="J481" s="82"/>
    </row>
    <row r="482" spans="1:10" s="22" customFormat="1" ht="15.75">
      <c r="A482" s="16" t="s">
        <v>79</v>
      </c>
      <c r="B482" s="17" t="s">
        <v>80</v>
      </c>
      <c r="C482" s="17" t="s">
        <v>81</v>
      </c>
      <c r="D482" s="19"/>
      <c r="E482" s="20"/>
      <c r="F482" s="19"/>
      <c r="G482" s="21">
        <f>'[2]Місто'!$K$339</f>
        <v>61915</v>
      </c>
      <c r="H482" s="83"/>
      <c r="J482" s="83"/>
    </row>
    <row r="483" spans="1:10" s="22" customFormat="1" ht="15.75">
      <c r="A483" s="16"/>
      <c r="B483" s="17"/>
      <c r="C483" s="17" t="s">
        <v>84</v>
      </c>
      <c r="D483" s="19"/>
      <c r="E483" s="20"/>
      <c r="F483" s="19"/>
      <c r="G483" s="21">
        <v>33915</v>
      </c>
      <c r="H483" s="83"/>
      <c r="J483" s="83"/>
    </row>
    <row r="484" spans="1:10" s="22" customFormat="1" ht="31.5">
      <c r="A484" s="26" t="s">
        <v>48</v>
      </c>
      <c r="B484" s="27" t="s">
        <v>49</v>
      </c>
      <c r="C484" s="27"/>
      <c r="D484" s="28"/>
      <c r="E484" s="30"/>
      <c r="F484" s="28"/>
      <c r="G484" s="28">
        <f>G488+G485+G486</f>
        <v>1664951</v>
      </c>
      <c r="H484" s="86">
        <f>'[2]Місто'!$K$347-G484</f>
        <v>0</v>
      </c>
      <c r="I484" s="62">
        <f>G486</f>
        <v>1550464</v>
      </c>
      <c r="J484" s="86">
        <f>'[3]Місто'!$L$205-I484</f>
        <v>0</v>
      </c>
    </row>
    <row r="485" spans="1:10" s="22" customFormat="1" ht="15.75">
      <c r="A485" s="16" t="s">
        <v>79</v>
      </c>
      <c r="B485" s="17" t="s">
        <v>80</v>
      </c>
      <c r="C485" s="17" t="s">
        <v>81</v>
      </c>
      <c r="D485" s="19"/>
      <c r="E485" s="20"/>
      <c r="F485" s="19"/>
      <c r="G485" s="21">
        <f>'[2]Місто'!$K$349</f>
        <v>14000</v>
      </c>
      <c r="H485" s="83"/>
      <c r="J485" s="83"/>
    </row>
    <row r="486" spans="1:10" s="22" customFormat="1" ht="30.75">
      <c r="A486" s="16">
        <v>150202</v>
      </c>
      <c r="B486" s="17" t="s">
        <v>255</v>
      </c>
      <c r="C486" s="17" t="s">
        <v>256</v>
      </c>
      <c r="D486" s="19"/>
      <c r="E486" s="20"/>
      <c r="F486" s="19"/>
      <c r="G486" s="21">
        <f>'[2]Місто'!$K$351</f>
        <v>1550464</v>
      </c>
      <c r="H486" s="83"/>
      <c r="J486" s="83"/>
    </row>
    <row r="487" spans="1:10" s="22" customFormat="1" ht="15.75">
      <c r="A487" s="16"/>
      <c r="B487" s="17"/>
      <c r="C487" s="17" t="s">
        <v>84</v>
      </c>
      <c r="D487" s="19"/>
      <c r="E487" s="20"/>
      <c r="F487" s="19"/>
      <c r="G487" s="43">
        <v>590672</v>
      </c>
      <c r="H487" s="83"/>
      <c r="J487" s="83"/>
    </row>
    <row r="488" spans="1:10" s="22" customFormat="1" ht="45.75">
      <c r="A488" s="16" t="s">
        <v>307</v>
      </c>
      <c r="B488" s="17" t="s">
        <v>308</v>
      </c>
      <c r="C488" s="17" t="s">
        <v>257</v>
      </c>
      <c r="D488" s="19"/>
      <c r="E488" s="20"/>
      <c r="F488" s="19"/>
      <c r="G488" s="43">
        <f>'[2]Місто'!$K$353</f>
        <v>100487</v>
      </c>
      <c r="H488" s="83"/>
      <c r="J488" s="83"/>
    </row>
    <row r="489" spans="1:10" s="22" customFormat="1" ht="15.75">
      <c r="A489" s="16"/>
      <c r="B489" s="17"/>
      <c r="C489" s="17" t="s">
        <v>84</v>
      </c>
      <c r="D489" s="19"/>
      <c r="E489" s="20"/>
      <c r="F489" s="19"/>
      <c r="G489" s="43">
        <v>24487</v>
      </c>
      <c r="H489" s="83"/>
      <c r="J489" s="83"/>
    </row>
    <row r="490" spans="1:10" s="22" customFormat="1" ht="31.5">
      <c r="A490" s="26" t="s">
        <v>359</v>
      </c>
      <c r="B490" s="67" t="s">
        <v>360</v>
      </c>
      <c r="C490" s="67"/>
      <c r="D490" s="67"/>
      <c r="E490" s="67"/>
      <c r="F490" s="67"/>
      <c r="G490" s="68">
        <f>G491</f>
        <v>41720</v>
      </c>
      <c r="H490" s="86">
        <f>'[2]Місто'!$K$361-G490</f>
        <v>0</v>
      </c>
      <c r="J490" s="83"/>
    </row>
    <row r="491" spans="1:10" s="22" customFormat="1" ht="15.75">
      <c r="A491" s="16" t="s">
        <v>79</v>
      </c>
      <c r="B491" s="17" t="s">
        <v>80</v>
      </c>
      <c r="C491" s="17" t="s">
        <v>81</v>
      </c>
      <c r="D491" s="19"/>
      <c r="E491" s="20"/>
      <c r="F491" s="19"/>
      <c r="G491" s="21">
        <f>'[2]Місто'!$K$363</f>
        <v>41720</v>
      </c>
      <c r="H491" s="83"/>
      <c r="J491" s="83"/>
    </row>
    <row r="492" spans="1:10" s="22" customFormat="1" ht="15.75">
      <c r="A492" s="16"/>
      <c r="B492" s="17"/>
      <c r="C492" s="17" t="s">
        <v>84</v>
      </c>
      <c r="D492" s="19"/>
      <c r="E492" s="20"/>
      <c r="F492" s="19"/>
      <c r="G492" s="21">
        <v>20720</v>
      </c>
      <c r="H492" s="83"/>
      <c r="J492" s="83"/>
    </row>
    <row r="493" spans="1:10" s="22" customFormat="1" ht="31.5">
      <c r="A493" s="26">
        <v>60</v>
      </c>
      <c r="B493" s="67" t="s">
        <v>157</v>
      </c>
      <c r="C493" s="67"/>
      <c r="D493" s="67"/>
      <c r="E493" s="67"/>
      <c r="F493" s="67"/>
      <c r="G493" s="68">
        <f>G494</f>
        <v>21000</v>
      </c>
      <c r="H493" s="86">
        <f>'[2]Місто'!$K$366-G493</f>
        <v>0</v>
      </c>
      <c r="J493" s="83"/>
    </row>
    <row r="494" spans="1:10" s="22" customFormat="1" ht="15.75">
      <c r="A494" s="16" t="s">
        <v>79</v>
      </c>
      <c r="B494" s="17" t="s">
        <v>80</v>
      </c>
      <c r="C494" s="17" t="s">
        <v>81</v>
      </c>
      <c r="D494" s="19"/>
      <c r="E494" s="20"/>
      <c r="F494" s="19"/>
      <c r="G494" s="21">
        <f>'[2]Місто'!$K$368</f>
        <v>21000</v>
      </c>
      <c r="H494" s="83"/>
      <c r="J494" s="83"/>
    </row>
    <row r="495" spans="1:10" s="29" customFormat="1" ht="31.5">
      <c r="A495" s="26">
        <v>65</v>
      </c>
      <c r="B495" s="27" t="s">
        <v>361</v>
      </c>
      <c r="C495" s="27"/>
      <c r="D495" s="28">
        <f>SUM(D497:D503)</f>
        <v>2453142</v>
      </c>
      <c r="E495" s="28"/>
      <c r="F495" s="28">
        <f>SUM(F497:F503)</f>
        <v>2453142</v>
      </c>
      <c r="G495" s="28">
        <f>G498+G499+G501+G503+G509+G496</f>
        <v>3804223</v>
      </c>
      <c r="H495" s="80">
        <f>'[2]Місто'!$K$375-G495</f>
        <v>0</v>
      </c>
      <c r="I495" s="37">
        <f>G498+G499</f>
        <v>1381022</v>
      </c>
      <c r="J495" s="80">
        <f>'[2]Місто'!$K$380-I495</f>
        <v>0</v>
      </c>
    </row>
    <row r="496" spans="1:10" s="22" customFormat="1" ht="15.75">
      <c r="A496" s="16" t="s">
        <v>79</v>
      </c>
      <c r="B496" s="17" t="s">
        <v>80</v>
      </c>
      <c r="C496" s="17" t="s">
        <v>81</v>
      </c>
      <c r="D496" s="19"/>
      <c r="E496" s="20"/>
      <c r="F496" s="19"/>
      <c r="G496" s="21">
        <f>'[2]Місто'!$K$377</f>
        <v>7000</v>
      </c>
      <c r="H496" s="83"/>
      <c r="J496" s="83"/>
    </row>
    <row r="497" spans="1:10" s="22" customFormat="1" ht="15.75" hidden="1">
      <c r="A497" s="16" t="s">
        <v>307</v>
      </c>
      <c r="B497" s="17" t="s">
        <v>308</v>
      </c>
      <c r="C497" s="17" t="s">
        <v>81</v>
      </c>
      <c r="D497" s="19"/>
      <c r="E497" s="20"/>
      <c r="F497" s="19"/>
      <c r="G497" s="21"/>
      <c r="H497" s="83"/>
      <c r="J497" s="83"/>
    </row>
    <row r="498" spans="1:10" s="22" customFormat="1" ht="45.75">
      <c r="A498" s="16">
        <v>150101</v>
      </c>
      <c r="B498" s="17" t="s">
        <v>82</v>
      </c>
      <c r="C498" s="17" t="s">
        <v>27</v>
      </c>
      <c r="D498" s="21">
        <v>2355142</v>
      </c>
      <c r="E498" s="21"/>
      <c r="F498" s="21">
        <v>2355142</v>
      </c>
      <c r="G498" s="21">
        <v>1355142</v>
      </c>
      <c r="H498" s="83"/>
      <c r="J498" s="83"/>
    </row>
    <row r="499" spans="1:10" s="22" customFormat="1" ht="45.75">
      <c r="A499" s="16">
        <v>150101</v>
      </c>
      <c r="B499" s="17" t="s">
        <v>82</v>
      </c>
      <c r="C499" s="17" t="s">
        <v>408</v>
      </c>
      <c r="D499" s="21">
        <v>98000</v>
      </c>
      <c r="E499" s="21"/>
      <c r="F499" s="21">
        <v>98000</v>
      </c>
      <c r="G499" s="21">
        <f>25880</f>
        <v>25880</v>
      </c>
      <c r="H499" s="83"/>
      <c r="J499" s="83"/>
    </row>
    <row r="500" spans="1:10" s="22" customFormat="1" ht="15.75">
      <c r="A500" s="16"/>
      <c r="B500" s="17"/>
      <c r="C500" s="17" t="s">
        <v>84</v>
      </c>
      <c r="D500" s="19"/>
      <c r="E500" s="20"/>
      <c r="F500" s="19"/>
      <c r="G500" s="21">
        <v>25880</v>
      </c>
      <c r="H500" s="83"/>
      <c r="J500" s="83"/>
    </row>
    <row r="501" spans="1:10" s="22" customFormat="1" ht="27" customHeight="1">
      <c r="A501" s="16">
        <v>171000</v>
      </c>
      <c r="B501" s="17" t="s">
        <v>362</v>
      </c>
      <c r="C501" s="17" t="s">
        <v>81</v>
      </c>
      <c r="D501" s="19"/>
      <c r="E501" s="20"/>
      <c r="F501" s="19"/>
      <c r="G501" s="21">
        <f>'[2]Місто'!$K$384</f>
        <v>480946</v>
      </c>
      <c r="H501" s="83"/>
      <c r="J501" s="83"/>
    </row>
    <row r="502" spans="1:10" s="22" customFormat="1" ht="15.75">
      <c r="A502" s="16"/>
      <c r="B502" s="17"/>
      <c r="C502" s="17" t="s">
        <v>84</v>
      </c>
      <c r="D502" s="19"/>
      <c r="E502" s="20"/>
      <c r="F502" s="19"/>
      <c r="G502" s="21">
        <v>480946</v>
      </c>
      <c r="H502" s="83"/>
      <c r="J502" s="83"/>
    </row>
    <row r="503" spans="1:10" s="22" customFormat="1" ht="30.75">
      <c r="A503" s="16">
        <v>180409</v>
      </c>
      <c r="B503" s="17" t="s">
        <v>346</v>
      </c>
      <c r="C503" s="17" t="s">
        <v>363</v>
      </c>
      <c r="D503" s="19"/>
      <c r="E503" s="19"/>
      <c r="F503" s="19"/>
      <c r="G503" s="21">
        <v>1639041</v>
      </c>
      <c r="H503" s="83"/>
      <c r="J503" s="83"/>
    </row>
    <row r="504" spans="1:10" s="22" customFormat="1" ht="15.75">
      <c r="A504" s="16"/>
      <c r="B504" s="17"/>
      <c r="C504" s="17" t="s">
        <v>84</v>
      </c>
      <c r="D504" s="19"/>
      <c r="E504" s="20"/>
      <c r="F504" s="19"/>
      <c r="G504" s="21">
        <v>1639041</v>
      </c>
      <c r="H504" s="83"/>
      <c r="J504" s="83"/>
    </row>
    <row r="505" spans="1:10" s="22" customFormat="1" ht="15.75">
      <c r="A505" s="16"/>
      <c r="B505" s="17"/>
      <c r="C505" s="17" t="s">
        <v>1</v>
      </c>
      <c r="D505" s="19"/>
      <c r="E505" s="19"/>
      <c r="F505" s="19"/>
      <c r="G505" s="21"/>
      <c r="H505" s="83"/>
      <c r="J505" s="83"/>
    </row>
    <row r="506" spans="1:10" s="22" customFormat="1" ht="45">
      <c r="A506" s="16"/>
      <c r="B506" s="17"/>
      <c r="C506" s="23" t="s">
        <v>154</v>
      </c>
      <c r="D506" s="19"/>
      <c r="E506" s="19"/>
      <c r="F506" s="19"/>
      <c r="G506" s="21">
        <v>66000</v>
      </c>
      <c r="H506" s="83"/>
      <c r="J506" s="83"/>
    </row>
    <row r="507" spans="1:10" s="22" customFormat="1" ht="49.5" customHeight="1">
      <c r="A507" s="16"/>
      <c r="B507" s="17"/>
      <c r="C507" s="23" t="s">
        <v>413</v>
      </c>
      <c r="D507" s="19"/>
      <c r="E507" s="19"/>
      <c r="F507" s="19"/>
      <c r="G507" s="21">
        <v>1573041</v>
      </c>
      <c r="H507" s="83"/>
      <c r="J507" s="83"/>
    </row>
    <row r="508" spans="1:10" s="22" customFormat="1" ht="45" hidden="1">
      <c r="A508" s="16"/>
      <c r="B508" s="17"/>
      <c r="C508" s="18" t="s">
        <v>276</v>
      </c>
      <c r="D508" s="19"/>
      <c r="E508" s="19"/>
      <c r="F508" s="19"/>
      <c r="G508" s="21"/>
      <c r="H508" s="83"/>
      <c r="J508" s="83"/>
    </row>
    <row r="509" spans="1:10" s="22" customFormat="1" ht="15.75">
      <c r="A509" s="16">
        <v>120100</v>
      </c>
      <c r="B509" s="17" t="s">
        <v>214</v>
      </c>
      <c r="C509" s="17" t="s">
        <v>81</v>
      </c>
      <c r="D509" s="19"/>
      <c r="E509" s="19"/>
      <c r="F509" s="19"/>
      <c r="G509" s="21">
        <f>'[2]Місто'!$K$379</f>
        <v>296214</v>
      </c>
      <c r="H509" s="83"/>
      <c r="J509" s="83"/>
    </row>
    <row r="510" spans="1:10" s="29" customFormat="1" ht="47.25">
      <c r="A510" s="26">
        <v>67</v>
      </c>
      <c r="B510" s="27" t="s">
        <v>364</v>
      </c>
      <c r="C510" s="27"/>
      <c r="D510" s="28">
        <f>D512</f>
        <v>0</v>
      </c>
      <c r="E510" s="28"/>
      <c r="F510" s="28">
        <f>F512</f>
        <v>0</v>
      </c>
      <c r="G510" s="28">
        <f>SUM(G511:G513)</f>
        <v>6354408</v>
      </c>
      <c r="H510" s="80">
        <f>'[2]Місто'!$K$394-G510</f>
        <v>0</v>
      </c>
      <c r="J510" s="82"/>
    </row>
    <row r="511" spans="1:10" s="22" customFormat="1" ht="15.75">
      <c r="A511" s="16" t="s">
        <v>79</v>
      </c>
      <c r="B511" s="17" t="s">
        <v>80</v>
      </c>
      <c r="C511" s="17" t="s">
        <v>81</v>
      </c>
      <c r="D511" s="19"/>
      <c r="E511" s="20"/>
      <c r="F511" s="19"/>
      <c r="G511" s="21">
        <f>'[2]Місто'!$K$396</f>
        <v>7000</v>
      </c>
      <c r="H511" s="83"/>
      <c r="J511" s="83"/>
    </row>
    <row r="512" spans="1:10" s="22" customFormat="1" ht="30.75">
      <c r="A512" s="16">
        <v>210105</v>
      </c>
      <c r="B512" s="17" t="s">
        <v>365</v>
      </c>
      <c r="C512" s="17" t="s">
        <v>81</v>
      </c>
      <c r="D512" s="19"/>
      <c r="E512" s="20"/>
      <c r="F512" s="19"/>
      <c r="G512" s="21">
        <f>'[2]Місто'!$K$398</f>
        <v>6121139</v>
      </c>
      <c r="H512" s="83"/>
      <c r="J512" s="83"/>
    </row>
    <row r="513" spans="1:10" s="22" customFormat="1" ht="15.75">
      <c r="A513" s="16">
        <v>210110</v>
      </c>
      <c r="B513" s="17" t="s">
        <v>366</v>
      </c>
      <c r="C513" s="17" t="s">
        <v>81</v>
      </c>
      <c r="D513" s="19"/>
      <c r="E513" s="20"/>
      <c r="F513" s="19"/>
      <c r="G513" s="21">
        <f>'[2]Місто'!$K$401</f>
        <v>226269</v>
      </c>
      <c r="H513" s="83"/>
      <c r="J513" s="83"/>
    </row>
    <row r="514" spans="1:10" s="29" customFormat="1" ht="31.5">
      <c r="A514" s="26">
        <v>73</v>
      </c>
      <c r="B514" s="27" t="s">
        <v>367</v>
      </c>
      <c r="C514" s="27"/>
      <c r="D514" s="28">
        <f>SUM(D515:D532)-D532</f>
        <v>114701863</v>
      </c>
      <c r="E514" s="28"/>
      <c r="F514" s="28">
        <f>SUM(F515:F532)-F532</f>
        <v>100443969.1</v>
      </c>
      <c r="G514" s="28">
        <f>SUM(G515:G532)-G532-G530-G524-G526-G521-G528-G517</f>
        <v>7046384</v>
      </c>
      <c r="H514" s="80">
        <f>'[2]Місто'!$K$402-G514</f>
        <v>0</v>
      </c>
      <c r="I514" s="37">
        <f>G516+G519+G520+G525+G529+G531</f>
        <v>7011384</v>
      </c>
      <c r="J514" s="80">
        <f>'[2]Місто'!$K$408-I514</f>
        <v>0</v>
      </c>
    </row>
    <row r="515" spans="1:10" s="22" customFormat="1" ht="15.75">
      <c r="A515" s="16" t="s">
        <v>79</v>
      </c>
      <c r="B515" s="17" t="s">
        <v>80</v>
      </c>
      <c r="C515" s="17" t="s">
        <v>81</v>
      </c>
      <c r="D515" s="19"/>
      <c r="E515" s="20"/>
      <c r="F515" s="19"/>
      <c r="G515" s="21">
        <f>'[2]Місто'!$K$404</f>
        <v>35000</v>
      </c>
      <c r="H515" s="83"/>
      <c r="J515" s="83"/>
    </row>
    <row r="516" spans="1:10" s="22" customFormat="1" ht="30.75">
      <c r="A516" s="16">
        <v>150101</v>
      </c>
      <c r="B516" s="17" t="s">
        <v>82</v>
      </c>
      <c r="C516" s="17" t="s">
        <v>368</v>
      </c>
      <c r="D516" s="19">
        <v>13415939</v>
      </c>
      <c r="E516" s="20">
        <f>100-(F516/D516*100)</f>
        <v>47.37563282003593</v>
      </c>
      <c r="F516" s="19">
        <v>7060053</v>
      </c>
      <c r="G516" s="21">
        <f>2856847+203206</f>
        <v>3060053</v>
      </c>
      <c r="H516" s="83"/>
      <c r="J516" s="83"/>
    </row>
    <row r="517" spans="1:10" s="22" customFormat="1" ht="15.75">
      <c r="A517" s="16"/>
      <c r="B517" s="17"/>
      <c r="C517" s="17" t="s">
        <v>84</v>
      </c>
      <c r="D517" s="19"/>
      <c r="E517" s="20"/>
      <c r="F517" s="19"/>
      <c r="G517" s="21">
        <v>203206</v>
      </c>
      <c r="H517" s="83"/>
      <c r="J517" s="83"/>
    </row>
    <row r="518" spans="1:10" s="22" customFormat="1" ht="30.75" hidden="1">
      <c r="A518" s="16">
        <v>150101</v>
      </c>
      <c r="B518" s="17" t="s">
        <v>82</v>
      </c>
      <c r="C518" s="17" t="s">
        <v>369</v>
      </c>
      <c r="D518" s="19">
        <f>2952107</f>
        <v>2952107</v>
      </c>
      <c r="E518" s="20">
        <f>100-(F518/D518*100)</f>
        <v>62.85076726554965</v>
      </c>
      <c r="F518" s="19">
        <v>1096685.1</v>
      </c>
      <c r="G518" s="21"/>
      <c r="H518" s="83"/>
      <c r="J518" s="83"/>
    </row>
    <row r="519" spans="1:10" s="22" customFormat="1" ht="45.75">
      <c r="A519" s="16">
        <v>150101</v>
      </c>
      <c r="B519" s="17" t="s">
        <v>82</v>
      </c>
      <c r="C519" s="17" t="s">
        <v>370</v>
      </c>
      <c r="D519" s="19">
        <v>200000</v>
      </c>
      <c r="E519" s="20"/>
      <c r="F519" s="19">
        <v>200000</v>
      </c>
      <c r="G519" s="21">
        <v>200000</v>
      </c>
      <c r="H519" s="83"/>
      <c r="J519" s="83"/>
    </row>
    <row r="520" spans="1:10" s="22" customFormat="1" ht="45.75">
      <c r="A520" s="16">
        <v>150101</v>
      </c>
      <c r="B520" s="17" t="s">
        <v>82</v>
      </c>
      <c r="C520" s="17" t="s">
        <v>371</v>
      </c>
      <c r="D520" s="19">
        <v>172787</v>
      </c>
      <c r="E520" s="20"/>
      <c r="F520" s="19">
        <v>172787</v>
      </c>
      <c r="G520" s="21">
        <f>126735+23265</f>
        <v>150000</v>
      </c>
      <c r="H520" s="83"/>
      <c r="J520" s="83"/>
    </row>
    <row r="521" spans="1:10" s="22" customFormat="1" ht="15.75">
      <c r="A521" s="16"/>
      <c r="B521" s="17"/>
      <c r="C521" s="17" t="s">
        <v>84</v>
      </c>
      <c r="D521" s="19"/>
      <c r="E521" s="20"/>
      <c r="F521" s="19"/>
      <c r="G521" s="21">
        <v>23265</v>
      </c>
      <c r="H521" s="83"/>
      <c r="J521" s="83"/>
    </row>
    <row r="522" spans="1:10" s="22" customFormat="1" ht="60.75" hidden="1">
      <c r="A522" s="16">
        <v>150101</v>
      </c>
      <c r="B522" s="17" t="s">
        <v>82</v>
      </c>
      <c r="C522" s="17" t="s">
        <v>372</v>
      </c>
      <c r="D522" s="19"/>
      <c r="E522" s="20"/>
      <c r="F522" s="19"/>
      <c r="G522" s="21"/>
      <c r="H522" s="83"/>
      <c r="J522" s="83"/>
    </row>
    <row r="523" spans="1:10" s="22" customFormat="1" ht="45.75" hidden="1">
      <c r="A523" s="16">
        <v>150101</v>
      </c>
      <c r="B523" s="17" t="s">
        <v>82</v>
      </c>
      <c r="C523" s="17" t="s">
        <v>98</v>
      </c>
      <c r="D523" s="19">
        <v>40486207</v>
      </c>
      <c r="E523" s="20">
        <f>100-(F523/D523*100)</f>
        <v>1.1220537404257271</v>
      </c>
      <c r="F523" s="19">
        <v>40031930</v>
      </c>
      <c r="G523" s="21"/>
      <c r="H523" s="83"/>
      <c r="J523" s="83"/>
    </row>
    <row r="524" spans="1:10" s="22" customFormat="1" ht="15.75" hidden="1">
      <c r="A524" s="16"/>
      <c r="B524" s="17"/>
      <c r="C524" s="17" t="s">
        <v>84</v>
      </c>
      <c r="D524" s="19"/>
      <c r="E524" s="20"/>
      <c r="F524" s="19"/>
      <c r="G524" s="21"/>
      <c r="H524" s="83"/>
      <c r="J524" s="83"/>
    </row>
    <row r="525" spans="1:10" s="22" customFormat="1" ht="45.75">
      <c r="A525" s="16">
        <v>150101</v>
      </c>
      <c r="B525" s="17" t="s">
        <v>82</v>
      </c>
      <c r="C525" s="17" t="s">
        <v>99</v>
      </c>
      <c r="D525" s="19">
        <v>41973922</v>
      </c>
      <c r="E525" s="20">
        <f>100-(F525/D525*100)</f>
        <v>1.5847792350688508</v>
      </c>
      <c r="F525" s="19">
        <v>41308728</v>
      </c>
      <c r="G525" s="21">
        <f>6798</f>
        <v>6798</v>
      </c>
      <c r="H525" s="83"/>
      <c r="J525" s="83"/>
    </row>
    <row r="526" spans="1:10" s="22" customFormat="1" ht="15.75">
      <c r="A526" s="16"/>
      <c r="B526" s="17"/>
      <c r="C526" s="17" t="s">
        <v>84</v>
      </c>
      <c r="D526" s="19"/>
      <c r="E526" s="20"/>
      <c r="F526" s="19"/>
      <c r="G526" s="21">
        <v>6798</v>
      </c>
      <c r="H526" s="83"/>
      <c r="J526" s="83"/>
    </row>
    <row r="527" spans="1:10" s="22" customFormat="1" ht="30.75" hidden="1">
      <c r="A527" s="16">
        <v>150101</v>
      </c>
      <c r="B527" s="17" t="s">
        <v>82</v>
      </c>
      <c r="C527" s="17" t="s">
        <v>100</v>
      </c>
      <c r="D527" s="19">
        <v>1222082</v>
      </c>
      <c r="E527" s="20">
        <f>100-(F527/D527*100)</f>
        <v>11.66648391842773</v>
      </c>
      <c r="F527" s="19">
        <v>1079508</v>
      </c>
      <c r="G527" s="21"/>
      <c r="H527" s="83"/>
      <c r="J527" s="83"/>
    </row>
    <row r="528" spans="1:10" s="22" customFormat="1" ht="15.75" hidden="1">
      <c r="A528" s="16"/>
      <c r="B528" s="17"/>
      <c r="C528" s="17" t="s">
        <v>84</v>
      </c>
      <c r="D528" s="19"/>
      <c r="E528" s="20"/>
      <c r="F528" s="19"/>
      <c r="G528" s="21"/>
      <c r="H528" s="83"/>
      <c r="J528" s="83"/>
    </row>
    <row r="529" spans="1:10" s="22" customFormat="1" ht="45" customHeight="1">
      <c r="A529" s="16">
        <v>150101</v>
      </c>
      <c r="B529" s="17" t="s">
        <v>82</v>
      </c>
      <c r="C529" s="17" t="s">
        <v>420</v>
      </c>
      <c r="D529" s="19">
        <v>168762</v>
      </c>
      <c r="E529" s="20">
        <f>100-(F529/D529*100)</f>
        <v>25.261018475723205</v>
      </c>
      <c r="F529" s="19">
        <v>126131</v>
      </c>
      <c r="G529" s="21">
        <f>396+94137</f>
        <v>94533</v>
      </c>
      <c r="H529" s="83"/>
      <c r="J529" s="83"/>
    </row>
    <row r="530" spans="1:10" s="22" customFormat="1" ht="15.75">
      <c r="A530" s="16"/>
      <c r="B530" s="17"/>
      <c r="C530" s="17" t="s">
        <v>84</v>
      </c>
      <c r="D530" s="19"/>
      <c r="E530" s="20"/>
      <c r="F530" s="19"/>
      <c r="G530" s="21">
        <v>396</v>
      </c>
      <c r="H530" s="83"/>
      <c r="J530" s="83"/>
    </row>
    <row r="531" spans="1:10" s="22" customFormat="1" ht="45.75">
      <c r="A531" s="16">
        <v>150121</v>
      </c>
      <c r="B531" s="17" t="s">
        <v>373</v>
      </c>
      <c r="C531" s="17" t="s">
        <v>374</v>
      </c>
      <c r="D531" s="19">
        <v>14110057</v>
      </c>
      <c r="E531" s="20">
        <f>100-(F531/D531*100)</f>
        <v>33.60659705343501</v>
      </c>
      <c r="F531" s="19">
        <v>9368147</v>
      </c>
      <c r="G531" s="21">
        <f>2839234+660766</f>
        <v>3500000</v>
      </c>
      <c r="H531" s="83"/>
      <c r="J531" s="83"/>
    </row>
    <row r="532" spans="1:10" s="22" customFormat="1" ht="15.75">
      <c r="A532" s="16"/>
      <c r="B532" s="17"/>
      <c r="C532" s="17" t="s">
        <v>84</v>
      </c>
      <c r="D532" s="19"/>
      <c r="E532" s="20"/>
      <c r="F532" s="19"/>
      <c r="G532" s="21">
        <v>660766</v>
      </c>
      <c r="H532" s="83"/>
      <c r="J532" s="83"/>
    </row>
    <row r="533" spans="1:10" s="29" customFormat="1" ht="31.5">
      <c r="A533" s="26" t="s">
        <v>375</v>
      </c>
      <c r="B533" s="27" t="s">
        <v>376</v>
      </c>
      <c r="C533" s="27"/>
      <c r="D533" s="28"/>
      <c r="E533" s="30"/>
      <c r="F533" s="28"/>
      <c r="G533" s="28">
        <f>G534</f>
        <v>70000</v>
      </c>
      <c r="H533" s="80">
        <f>'[2]Місто'!$K$420-G533</f>
        <v>0</v>
      </c>
      <c r="J533" s="82"/>
    </row>
    <row r="534" spans="1:10" s="22" customFormat="1" ht="15.75">
      <c r="A534" s="16" t="s">
        <v>79</v>
      </c>
      <c r="B534" s="17" t="s">
        <v>80</v>
      </c>
      <c r="C534" s="17" t="s">
        <v>81</v>
      </c>
      <c r="D534" s="19"/>
      <c r="E534" s="20"/>
      <c r="F534" s="19"/>
      <c r="G534" s="21">
        <f>'[2]Місто'!$K$422</f>
        <v>70000</v>
      </c>
      <c r="H534" s="83"/>
      <c r="J534" s="83"/>
    </row>
    <row r="535" spans="1:10" s="29" customFormat="1" ht="31.5" hidden="1">
      <c r="A535" s="26" t="s">
        <v>377</v>
      </c>
      <c r="B535" s="27" t="s">
        <v>376</v>
      </c>
      <c r="C535" s="27"/>
      <c r="D535" s="28"/>
      <c r="E535" s="30"/>
      <c r="F535" s="28"/>
      <c r="G535" s="28">
        <f>G536</f>
        <v>0</v>
      </c>
      <c r="H535" s="82"/>
      <c r="J535" s="82"/>
    </row>
    <row r="536" spans="1:10" s="22" customFormat="1" ht="15.75" hidden="1">
      <c r="A536" s="16">
        <v>250380</v>
      </c>
      <c r="B536" s="17" t="s">
        <v>344</v>
      </c>
      <c r="C536" s="17" t="s">
        <v>81</v>
      </c>
      <c r="D536" s="19"/>
      <c r="E536" s="20"/>
      <c r="F536" s="19"/>
      <c r="G536" s="21"/>
      <c r="H536" s="83"/>
      <c r="J536" s="83"/>
    </row>
    <row r="537" spans="1:10" s="29" customFormat="1" ht="31.5">
      <c r="A537" s="26">
        <v>90</v>
      </c>
      <c r="B537" s="27" t="s">
        <v>378</v>
      </c>
      <c r="C537" s="27"/>
      <c r="D537" s="28"/>
      <c r="E537" s="30"/>
      <c r="F537" s="28"/>
      <c r="G537" s="28">
        <f>G538</f>
        <v>68812</v>
      </c>
      <c r="H537" s="80">
        <f>'[2]Місто'!$K$437-G537</f>
        <v>0</v>
      </c>
      <c r="J537" s="82"/>
    </row>
    <row r="538" spans="1:10" s="22" customFormat="1" ht="15.75">
      <c r="A538" s="16" t="s">
        <v>79</v>
      </c>
      <c r="B538" s="17" t="s">
        <v>80</v>
      </c>
      <c r="C538" s="17" t="s">
        <v>81</v>
      </c>
      <c r="D538" s="19"/>
      <c r="E538" s="20"/>
      <c r="F538" s="19"/>
      <c r="G538" s="21">
        <f>'[2]Місто'!$K$439</f>
        <v>68812</v>
      </c>
      <c r="H538" s="83"/>
      <c r="J538" s="83"/>
    </row>
    <row r="539" spans="1:10" s="22" customFormat="1" ht="15.75" hidden="1">
      <c r="A539" s="16" t="s">
        <v>356</v>
      </c>
      <c r="B539" s="17" t="s">
        <v>379</v>
      </c>
      <c r="C539" s="17" t="s">
        <v>81</v>
      </c>
      <c r="D539" s="19"/>
      <c r="E539" s="20"/>
      <c r="F539" s="19"/>
      <c r="G539" s="21"/>
      <c r="H539" s="83"/>
      <c r="J539" s="83"/>
    </row>
    <row r="540" spans="1:10" s="22" customFormat="1" ht="15.75" hidden="1">
      <c r="A540" s="16" t="s">
        <v>380</v>
      </c>
      <c r="B540" s="17" t="s">
        <v>82</v>
      </c>
      <c r="C540" s="17"/>
      <c r="D540" s="19"/>
      <c r="E540" s="20"/>
      <c r="F540" s="19"/>
      <c r="G540" s="21"/>
      <c r="H540" s="83"/>
      <c r="J540" s="83"/>
    </row>
    <row r="541" spans="1:10" s="22" customFormat="1" ht="15.75">
      <c r="A541" s="16"/>
      <c r="B541" s="17"/>
      <c r="C541" s="17" t="s">
        <v>84</v>
      </c>
      <c r="D541" s="19"/>
      <c r="E541" s="20"/>
      <c r="F541" s="19"/>
      <c r="G541" s="21">
        <v>47812</v>
      </c>
      <c r="H541" s="83"/>
      <c r="J541" s="83"/>
    </row>
    <row r="542" spans="1:10" s="29" customFormat="1" ht="31.5">
      <c r="A542" s="26">
        <v>91</v>
      </c>
      <c r="B542" s="27" t="s">
        <v>381</v>
      </c>
      <c r="C542" s="27"/>
      <c r="D542" s="28">
        <f>SUM(D543:D545)</f>
        <v>0</v>
      </c>
      <c r="E542" s="28"/>
      <c r="F542" s="28">
        <f>SUM(F543:F545)</f>
        <v>0</v>
      </c>
      <c r="G542" s="28">
        <f>SUM(G543:G545)-G544</f>
        <v>28223</v>
      </c>
      <c r="H542" s="80">
        <f>'[2]Місто'!$K$454-G542</f>
        <v>0</v>
      </c>
      <c r="J542" s="82"/>
    </row>
    <row r="543" spans="1:10" s="22" customFormat="1" ht="15.75">
      <c r="A543" s="16">
        <v>10116</v>
      </c>
      <c r="B543" s="17" t="s">
        <v>80</v>
      </c>
      <c r="C543" s="17" t="s">
        <v>81</v>
      </c>
      <c r="D543" s="19"/>
      <c r="E543" s="20"/>
      <c r="F543" s="19"/>
      <c r="G543" s="21">
        <f>'[2]Місто'!$K$456</f>
        <v>27827</v>
      </c>
      <c r="H543" s="83"/>
      <c r="J543" s="83"/>
    </row>
    <row r="544" spans="1:10" s="22" customFormat="1" ht="15.75">
      <c r="A544" s="16"/>
      <c r="B544" s="17"/>
      <c r="C544" s="17" t="s">
        <v>84</v>
      </c>
      <c r="D544" s="19"/>
      <c r="E544" s="20"/>
      <c r="F544" s="19"/>
      <c r="G544" s="21">
        <v>6827</v>
      </c>
      <c r="H544" s="83"/>
      <c r="J544" s="83"/>
    </row>
    <row r="545" spans="1:10" s="22" customFormat="1" ht="19.5" customHeight="1">
      <c r="A545" s="16" t="s">
        <v>356</v>
      </c>
      <c r="B545" s="17" t="s">
        <v>379</v>
      </c>
      <c r="C545" s="17" t="s">
        <v>81</v>
      </c>
      <c r="D545" s="19"/>
      <c r="E545" s="20"/>
      <c r="F545" s="19"/>
      <c r="G545" s="21">
        <f>'[2]Місто'!$K$458</f>
        <v>396</v>
      </c>
      <c r="H545" s="83"/>
      <c r="J545" s="83"/>
    </row>
    <row r="546" spans="1:10" s="22" customFormat="1" ht="15.75">
      <c r="A546" s="16"/>
      <c r="B546" s="17"/>
      <c r="C546" s="17" t="s">
        <v>84</v>
      </c>
      <c r="D546" s="19"/>
      <c r="E546" s="20"/>
      <c r="F546" s="19"/>
      <c r="G546" s="21">
        <v>396</v>
      </c>
      <c r="H546" s="83"/>
      <c r="J546" s="83"/>
    </row>
    <row r="547" spans="1:10" s="29" customFormat="1" ht="31.5">
      <c r="A547" s="26">
        <v>92</v>
      </c>
      <c r="B547" s="27" t="s">
        <v>382</v>
      </c>
      <c r="C547" s="27"/>
      <c r="D547" s="28">
        <f>SUM(D548:D563)-D561</f>
        <v>15484705</v>
      </c>
      <c r="E547" s="28"/>
      <c r="F547" s="28">
        <f>SUM(F548:F563)-F561</f>
        <v>13542505</v>
      </c>
      <c r="G547" s="28">
        <f>G548+G551+G553+G555+G558+G559+G560+G563+G565</f>
        <v>4435921</v>
      </c>
      <c r="H547" s="80">
        <f>'[2]Місто'!$K$471-G547</f>
        <v>0</v>
      </c>
      <c r="I547" s="37">
        <f>G551+G553+G555+G558+G559+G560+G563+G565</f>
        <v>4407946</v>
      </c>
      <c r="J547" s="80">
        <f>'[2]Місто'!$K$476-I547</f>
        <v>0</v>
      </c>
    </row>
    <row r="548" spans="1:10" s="22" customFormat="1" ht="15.75">
      <c r="A548" s="16" t="s">
        <v>79</v>
      </c>
      <c r="B548" s="17" t="s">
        <v>80</v>
      </c>
      <c r="C548" s="17" t="s">
        <v>81</v>
      </c>
      <c r="D548" s="19"/>
      <c r="E548" s="20"/>
      <c r="F548" s="19"/>
      <c r="G548" s="21">
        <f>'[2]Місто'!$K$473</f>
        <v>27975</v>
      </c>
      <c r="H548" s="83"/>
      <c r="J548" s="83"/>
    </row>
    <row r="549" spans="1:10" s="22" customFormat="1" ht="15.75">
      <c r="A549" s="16"/>
      <c r="B549" s="17"/>
      <c r="C549" s="17" t="s">
        <v>84</v>
      </c>
      <c r="D549" s="19"/>
      <c r="E549" s="20"/>
      <c r="F549" s="19"/>
      <c r="G549" s="21">
        <v>6975</v>
      </c>
      <c r="H549" s="83"/>
      <c r="J549" s="83"/>
    </row>
    <row r="550" spans="1:10" s="22" customFormat="1" ht="42.75" customHeight="1" hidden="1">
      <c r="A550" s="16" t="s">
        <v>356</v>
      </c>
      <c r="B550" s="17" t="s">
        <v>379</v>
      </c>
      <c r="C550" s="17" t="s">
        <v>396</v>
      </c>
      <c r="D550" s="19"/>
      <c r="E550" s="20"/>
      <c r="F550" s="19"/>
      <c r="G550" s="21"/>
      <c r="H550" s="83"/>
      <c r="J550" s="83"/>
    </row>
    <row r="551" spans="1:10" s="22" customFormat="1" ht="15.75">
      <c r="A551" s="16">
        <v>150101</v>
      </c>
      <c r="B551" s="17" t="s">
        <v>82</v>
      </c>
      <c r="C551" s="17" t="s">
        <v>383</v>
      </c>
      <c r="D551" s="19">
        <v>10000000</v>
      </c>
      <c r="E551" s="20"/>
      <c r="F551" s="19">
        <v>9999150</v>
      </c>
      <c r="G551" s="21">
        <f>2500000+116025</f>
        <v>2616025</v>
      </c>
      <c r="H551" s="83"/>
      <c r="J551" s="83"/>
    </row>
    <row r="552" spans="1:10" s="22" customFormat="1" ht="15.75">
      <c r="A552" s="16"/>
      <c r="B552" s="17"/>
      <c r="C552" s="17" t="s">
        <v>84</v>
      </c>
      <c r="D552" s="19"/>
      <c r="E552" s="20"/>
      <c r="F552" s="19"/>
      <c r="G552" s="21">
        <v>116025</v>
      </c>
      <c r="H552" s="83"/>
      <c r="J552" s="83"/>
    </row>
    <row r="553" spans="1:10" s="22" customFormat="1" ht="45.75">
      <c r="A553" s="16">
        <v>150101</v>
      </c>
      <c r="B553" s="17" t="s">
        <v>82</v>
      </c>
      <c r="C553" s="17" t="s">
        <v>117</v>
      </c>
      <c r="D553" s="19">
        <v>2000000</v>
      </c>
      <c r="E553" s="20"/>
      <c r="F553" s="19">
        <v>2000000</v>
      </c>
      <c r="G553" s="21">
        <f>148730+88647+1</f>
        <v>237378</v>
      </c>
      <c r="H553" s="83"/>
      <c r="J553" s="83"/>
    </row>
    <row r="554" spans="1:10" s="22" customFormat="1" ht="15.75">
      <c r="A554" s="16"/>
      <c r="B554" s="17"/>
      <c r="C554" s="17" t="s">
        <v>84</v>
      </c>
      <c r="D554" s="19"/>
      <c r="E554" s="20"/>
      <c r="F554" s="19"/>
      <c r="G554" s="21">
        <v>88647</v>
      </c>
      <c r="H554" s="83"/>
      <c r="J554" s="83"/>
    </row>
    <row r="555" spans="1:10" s="22" customFormat="1" ht="45.75">
      <c r="A555" s="16">
        <v>150101</v>
      </c>
      <c r="B555" s="17" t="s">
        <v>82</v>
      </c>
      <c r="C555" s="17" t="s">
        <v>384</v>
      </c>
      <c r="D555" s="19">
        <v>70000</v>
      </c>
      <c r="E555" s="20"/>
      <c r="F555" s="19">
        <v>70000</v>
      </c>
      <c r="G555" s="21">
        <f>58469+11532-1</f>
        <v>70000</v>
      </c>
      <c r="H555" s="83"/>
      <c r="J555" s="83"/>
    </row>
    <row r="556" spans="1:10" s="22" customFormat="1" ht="30.75" hidden="1">
      <c r="A556" s="16">
        <v>150101</v>
      </c>
      <c r="B556" s="17" t="s">
        <v>82</v>
      </c>
      <c r="C556" s="17" t="s">
        <v>385</v>
      </c>
      <c r="D556" s="19"/>
      <c r="E556" s="20"/>
      <c r="F556" s="19"/>
      <c r="G556" s="21"/>
      <c r="H556" s="83"/>
      <c r="J556" s="83"/>
    </row>
    <row r="557" spans="1:10" s="22" customFormat="1" ht="15.75">
      <c r="A557" s="16"/>
      <c r="B557" s="17"/>
      <c r="C557" s="17" t="s">
        <v>84</v>
      </c>
      <c r="D557" s="19"/>
      <c r="E557" s="20"/>
      <c r="F557" s="19"/>
      <c r="G557" s="21">
        <v>11532</v>
      </c>
      <c r="H557" s="83"/>
      <c r="J557" s="83"/>
    </row>
    <row r="558" spans="1:10" s="22" customFormat="1" ht="45.75">
      <c r="A558" s="16">
        <v>150101</v>
      </c>
      <c r="B558" s="17" t="s">
        <v>82</v>
      </c>
      <c r="C558" s="17" t="s">
        <v>125</v>
      </c>
      <c r="D558" s="19">
        <v>929782</v>
      </c>
      <c r="E558" s="20"/>
      <c r="F558" s="19">
        <v>637872</v>
      </c>
      <c r="G558" s="21">
        <v>637870</v>
      </c>
      <c r="H558" s="83"/>
      <c r="J558" s="83"/>
    </row>
    <row r="559" spans="1:10" s="22" customFormat="1" ht="46.5" customHeight="1">
      <c r="A559" s="16">
        <v>150101</v>
      </c>
      <c r="B559" s="17" t="s">
        <v>82</v>
      </c>
      <c r="C559" s="17" t="s">
        <v>126</v>
      </c>
      <c r="D559" s="19">
        <v>609237</v>
      </c>
      <c r="E559" s="20"/>
      <c r="F559" s="19">
        <v>353824</v>
      </c>
      <c r="G559" s="21">
        <v>353824</v>
      </c>
      <c r="H559" s="83"/>
      <c r="J559" s="83"/>
    </row>
    <row r="560" spans="1:10" s="22" customFormat="1" ht="30.75">
      <c r="A560" s="16">
        <v>150101</v>
      </c>
      <c r="B560" s="17" t="s">
        <v>82</v>
      </c>
      <c r="C560" s="17" t="s">
        <v>11</v>
      </c>
      <c r="D560" s="19">
        <v>999736</v>
      </c>
      <c r="E560" s="20">
        <f>100-(F560/D560*100)</f>
        <v>81.48311154144695</v>
      </c>
      <c r="F560" s="19">
        <v>185120</v>
      </c>
      <c r="G560" s="21">
        <v>185120</v>
      </c>
      <c r="H560" s="83"/>
      <c r="J560" s="83"/>
    </row>
    <row r="561" spans="1:10" s="22" customFormat="1" ht="15.75" hidden="1">
      <c r="A561" s="16"/>
      <c r="B561" s="17"/>
      <c r="C561" s="17" t="s">
        <v>84</v>
      </c>
      <c r="D561" s="19"/>
      <c r="E561" s="20"/>
      <c r="F561" s="19"/>
      <c r="G561" s="21"/>
      <c r="H561" s="83"/>
      <c r="J561" s="83"/>
    </row>
    <row r="562" spans="1:10" s="22" customFormat="1" ht="45.75" hidden="1">
      <c r="A562" s="16">
        <v>150101</v>
      </c>
      <c r="B562" s="17" t="s">
        <v>82</v>
      </c>
      <c r="C562" s="17" t="s">
        <v>386</v>
      </c>
      <c r="D562" s="19"/>
      <c r="E562" s="20"/>
      <c r="F562" s="19"/>
      <c r="G562" s="21"/>
      <c r="H562" s="83"/>
      <c r="J562" s="83"/>
    </row>
    <row r="563" spans="1:10" s="22" customFormat="1" ht="30.75">
      <c r="A563" s="16">
        <v>150101</v>
      </c>
      <c r="B563" s="17" t="s">
        <v>82</v>
      </c>
      <c r="C563" s="17" t="s">
        <v>12</v>
      </c>
      <c r="D563" s="19">
        <v>875950</v>
      </c>
      <c r="E563" s="20">
        <f>100-(F563/D563*100)</f>
        <v>66.14658370911582</v>
      </c>
      <c r="F563" s="19">
        <v>296539</v>
      </c>
      <c r="G563" s="21">
        <f>275815+20724</f>
        <v>296539</v>
      </c>
      <c r="H563" s="83"/>
      <c r="J563" s="83"/>
    </row>
    <row r="564" spans="1:10" s="22" customFormat="1" ht="15.75">
      <c r="A564" s="16"/>
      <c r="B564" s="17"/>
      <c r="C564" s="17" t="s">
        <v>84</v>
      </c>
      <c r="D564" s="19"/>
      <c r="E564" s="20"/>
      <c r="F564" s="19"/>
      <c r="G564" s="21">
        <v>20724</v>
      </c>
      <c r="H564" s="83"/>
      <c r="J564" s="83"/>
    </row>
    <row r="565" spans="1:10" s="22" customFormat="1" ht="45.75">
      <c r="A565" s="16">
        <v>150101</v>
      </c>
      <c r="B565" s="17" t="s">
        <v>82</v>
      </c>
      <c r="C565" s="17" t="s">
        <v>349</v>
      </c>
      <c r="D565" s="19">
        <v>100000</v>
      </c>
      <c r="E565" s="20"/>
      <c r="F565" s="19">
        <v>100000</v>
      </c>
      <c r="G565" s="21">
        <f>11190</f>
        <v>11190</v>
      </c>
      <c r="H565" s="83"/>
      <c r="J565" s="83"/>
    </row>
    <row r="566" spans="1:10" s="22" customFormat="1" ht="15.75">
      <c r="A566" s="16"/>
      <c r="B566" s="17"/>
      <c r="C566" s="17" t="s">
        <v>84</v>
      </c>
      <c r="D566" s="19"/>
      <c r="E566" s="20"/>
      <c r="F566" s="19"/>
      <c r="G566" s="21">
        <v>11190</v>
      </c>
      <c r="H566" s="83"/>
      <c r="J566" s="83"/>
    </row>
    <row r="567" spans="1:10" s="29" customFormat="1" ht="36" customHeight="1">
      <c r="A567" s="26">
        <v>93</v>
      </c>
      <c r="B567" s="27" t="s">
        <v>387</v>
      </c>
      <c r="C567" s="27"/>
      <c r="D567" s="28">
        <f>SUM(D570:D575)-D571</f>
        <v>4459549</v>
      </c>
      <c r="E567" s="30"/>
      <c r="F567" s="28">
        <f>SUM(F570:F575)-F571</f>
        <v>4241233</v>
      </c>
      <c r="G567" s="28">
        <f>G568+G573+G575</f>
        <v>263375</v>
      </c>
      <c r="H567" s="80">
        <f>'[2]Місто'!$K$488-G567</f>
        <v>0</v>
      </c>
      <c r="I567" s="37">
        <f>G573+G575</f>
        <v>221000</v>
      </c>
      <c r="J567" s="80">
        <f>'[2]Місто'!$K$493-I567</f>
        <v>0</v>
      </c>
    </row>
    <row r="568" spans="1:10" s="22" customFormat="1" ht="15.75">
      <c r="A568" s="16" t="s">
        <v>79</v>
      </c>
      <c r="B568" s="17" t="s">
        <v>80</v>
      </c>
      <c r="C568" s="17" t="s">
        <v>81</v>
      </c>
      <c r="D568" s="19"/>
      <c r="E568" s="20"/>
      <c r="F568" s="19"/>
      <c r="G568" s="21">
        <f>'[2]Місто'!$K$490</f>
        <v>42375</v>
      </c>
      <c r="H568" s="83"/>
      <c r="J568" s="83"/>
    </row>
    <row r="569" spans="1:10" s="22" customFormat="1" ht="15.75" hidden="1">
      <c r="A569" s="16" t="s">
        <v>356</v>
      </c>
      <c r="B569" s="17" t="s">
        <v>379</v>
      </c>
      <c r="C569" s="17" t="s">
        <v>81</v>
      </c>
      <c r="D569" s="19"/>
      <c r="E569" s="20"/>
      <c r="F569" s="19"/>
      <c r="G569" s="21"/>
      <c r="H569" s="83"/>
      <c r="J569" s="83"/>
    </row>
    <row r="570" spans="1:10" s="22" customFormat="1" ht="48" customHeight="1" hidden="1">
      <c r="A570" s="16"/>
      <c r="B570" s="17"/>
      <c r="C570" s="17"/>
      <c r="D570" s="19"/>
      <c r="E570" s="19"/>
      <c r="F570" s="19"/>
      <c r="G570" s="21"/>
      <c r="H570" s="83"/>
      <c r="J570" s="83"/>
    </row>
    <row r="571" spans="1:10" s="22" customFormat="1" ht="36.75" customHeight="1" hidden="1">
      <c r="A571" s="16"/>
      <c r="B571" s="17"/>
      <c r="C571" s="17"/>
      <c r="D571" s="19"/>
      <c r="E571" s="19"/>
      <c r="F571" s="19"/>
      <c r="G571" s="21"/>
      <c r="H571" s="83"/>
      <c r="J571" s="83"/>
    </row>
    <row r="572" spans="1:10" s="22" customFormat="1" ht="15.75">
      <c r="A572" s="16"/>
      <c r="B572" s="17"/>
      <c r="C572" s="17" t="s">
        <v>84</v>
      </c>
      <c r="D572" s="19"/>
      <c r="E572" s="20"/>
      <c r="F572" s="19"/>
      <c r="G572" s="21">
        <v>21375</v>
      </c>
      <c r="H572" s="83"/>
      <c r="J572" s="83"/>
    </row>
    <row r="573" spans="1:10" s="22" customFormat="1" ht="30.75">
      <c r="A573" s="16">
        <v>150101</v>
      </c>
      <c r="B573" s="17" t="s">
        <v>82</v>
      </c>
      <c r="C573" s="17" t="s">
        <v>41</v>
      </c>
      <c r="D573" s="19">
        <v>3463549</v>
      </c>
      <c r="E573" s="20">
        <f>100-(F573/D573*100)</f>
        <v>5.71136715548127</v>
      </c>
      <c r="F573" s="19">
        <v>3265733</v>
      </c>
      <c r="G573" s="21">
        <v>1536</v>
      </c>
      <c r="H573" s="83"/>
      <c r="J573" s="83"/>
    </row>
    <row r="574" spans="1:10" s="22" customFormat="1" ht="15.75">
      <c r="A574" s="16"/>
      <c r="B574" s="17"/>
      <c r="C574" s="17" t="s">
        <v>84</v>
      </c>
      <c r="D574" s="19"/>
      <c r="E574" s="20"/>
      <c r="F574" s="19"/>
      <c r="G574" s="21">
        <v>1536</v>
      </c>
      <c r="H574" s="83"/>
      <c r="J574" s="83"/>
    </row>
    <row r="575" spans="1:10" s="22" customFormat="1" ht="30.75">
      <c r="A575" s="16">
        <v>150101</v>
      </c>
      <c r="B575" s="17" t="s">
        <v>82</v>
      </c>
      <c r="C575" s="17" t="s">
        <v>424</v>
      </c>
      <c r="D575" s="19">
        <v>996000</v>
      </c>
      <c r="E575" s="20"/>
      <c r="F575" s="19">
        <v>975500</v>
      </c>
      <c r="G575" s="21">
        <f>19464+200000</f>
        <v>219464</v>
      </c>
      <c r="H575" s="83"/>
      <c r="J575" s="83"/>
    </row>
    <row r="576" spans="1:10" s="22" customFormat="1" ht="15.75">
      <c r="A576" s="16"/>
      <c r="B576" s="17"/>
      <c r="C576" s="17" t="s">
        <v>84</v>
      </c>
      <c r="D576" s="19"/>
      <c r="E576" s="20"/>
      <c r="F576" s="19"/>
      <c r="G576" s="21">
        <v>19464</v>
      </c>
      <c r="H576" s="83"/>
      <c r="J576" s="83"/>
    </row>
    <row r="577" spans="1:10" s="22" customFormat="1" ht="33" customHeight="1">
      <c r="A577" s="26">
        <v>94</v>
      </c>
      <c r="B577" s="27" t="s">
        <v>388</v>
      </c>
      <c r="C577" s="32"/>
      <c r="D577" s="33"/>
      <c r="E577" s="34"/>
      <c r="F577" s="33"/>
      <c r="G577" s="28">
        <f>SUM(G578:G579)</f>
        <v>27975</v>
      </c>
      <c r="H577" s="86">
        <f>'[2]Місто'!$K$505-G577</f>
        <v>0</v>
      </c>
      <c r="J577" s="83"/>
    </row>
    <row r="578" spans="1:10" s="22" customFormat="1" ht="15.75">
      <c r="A578" s="16" t="s">
        <v>79</v>
      </c>
      <c r="B578" s="17" t="s">
        <v>80</v>
      </c>
      <c r="C578" s="17" t="s">
        <v>401</v>
      </c>
      <c r="D578" s="19"/>
      <c r="E578" s="20"/>
      <c r="F578" s="19"/>
      <c r="G578" s="19">
        <f>'[2]Місто'!$K$507</f>
        <v>27975</v>
      </c>
      <c r="H578" s="83"/>
      <c r="J578" s="83"/>
    </row>
    <row r="579" spans="1:10" s="22" customFormat="1" ht="21.75" customHeight="1" hidden="1">
      <c r="A579" s="16" t="s">
        <v>356</v>
      </c>
      <c r="B579" s="17" t="s">
        <v>379</v>
      </c>
      <c r="C579" s="17" t="s">
        <v>81</v>
      </c>
      <c r="D579" s="19"/>
      <c r="E579" s="20"/>
      <c r="F579" s="19"/>
      <c r="G579" s="19">
        <f>'[1]Місто'!$K$507</f>
        <v>0</v>
      </c>
      <c r="H579" s="83"/>
      <c r="J579" s="83"/>
    </row>
    <row r="580" spans="1:10" s="22" customFormat="1" ht="15.75">
      <c r="A580" s="16"/>
      <c r="B580" s="17"/>
      <c r="C580" s="17" t="s">
        <v>84</v>
      </c>
      <c r="D580" s="19"/>
      <c r="E580" s="20"/>
      <c r="F580" s="19"/>
      <c r="G580" s="21">
        <v>6975</v>
      </c>
      <c r="H580" s="83"/>
      <c r="J580" s="83"/>
    </row>
    <row r="581" spans="1:10" s="29" customFormat="1" ht="35.25" customHeight="1">
      <c r="A581" s="26">
        <v>95</v>
      </c>
      <c r="B581" s="27" t="s">
        <v>389</v>
      </c>
      <c r="C581" s="27"/>
      <c r="D581" s="28">
        <f>SUM(D582:D585)</f>
        <v>1145573</v>
      </c>
      <c r="E581" s="28">
        <f>SUM(E582:E585)</f>
        <v>0</v>
      </c>
      <c r="F581" s="28">
        <f>SUM(F582:F585)</f>
        <v>162208</v>
      </c>
      <c r="G581" s="28">
        <f>SUM(G582:G585)-G583</f>
        <v>30975</v>
      </c>
      <c r="H581" s="80">
        <f>'[2]Місто'!$K$523-G581</f>
        <v>0</v>
      </c>
      <c r="I581" s="37">
        <f>G585</f>
        <v>3000</v>
      </c>
      <c r="J581" s="80">
        <f>'[2]Місто'!$K$528-I581</f>
        <v>0</v>
      </c>
    </row>
    <row r="582" spans="1:10" s="22" customFormat="1" ht="20.25" customHeight="1">
      <c r="A582" s="16" t="s">
        <v>79</v>
      </c>
      <c r="B582" s="17" t="s">
        <v>80</v>
      </c>
      <c r="C582" s="17" t="s">
        <v>401</v>
      </c>
      <c r="D582" s="19"/>
      <c r="E582" s="20"/>
      <c r="F582" s="19"/>
      <c r="G582" s="21">
        <f>'[2]Місто'!$K$525</f>
        <v>27975</v>
      </c>
      <c r="H582" s="83"/>
      <c r="J582" s="83"/>
    </row>
    <row r="583" spans="1:10" s="22" customFormat="1" ht="18" customHeight="1">
      <c r="A583" s="16"/>
      <c r="B583" s="17"/>
      <c r="C583" s="17" t="s">
        <v>84</v>
      </c>
      <c r="D583" s="19"/>
      <c r="E583" s="20"/>
      <c r="F583" s="19"/>
      <c r="G583" s="21">
        <v>6975</v>
      </c>
      <c r="H583" s="83"/>
      <c r="J583" s="83"/>
    </row>
    <row r="584" spans="1:10" s="22" customFormat="1" ht="17.25" customHeight="1" hidden="1">
      <c r="A584" s="16" t="s">
        <v>356</v>
      </c>
      <c r="B584" s="17" t="s">
        <v>379</v>
      </c>
      <c r="C584" s="17" t="s">
        <v>396</v>
      </c>
      <c r="D584" s="19"/>
      <c r="E584" s="20"/>
      <c r="F584" s="19"/>
      <c r="G584" s="21"/>
      <c r="H584" s="83"/>
      <c r="J584" s="83"/>
    </row>
    <row r="585" spans="1:10" s="22" customFormat="1" ht="30.75">
      <c r="A585" s="16" t="s">
        <v>380</v>
      </c>
      <c r="B585" s="17" t="s">
        <v>82</v>
      </c>
      <c r="C585" s="17" t="s">
        <v>390</v>
      </c>
      <c r="D585" s="19">
        <v>1145573</v>
      </c>
      <c r="E585" s="20"/>
      <c r="F585" s="19">
        <v>162208</v>
      </c>
      <c r="G585" s="21">
        <v>3000</v>
      </c>
      <c r="H585" s="83"/>
      <c r="J585" s="83"/>
    </row>
    <row r="586" spans="1:10" s="22" customFormat="1" ht="15.75">
      <c r="A586" s="16"/>
      <c r="B586" s="17"/>
      <c r="C586" s="17" t="s">
        <v>84</v>
      </c>
      <c r="D586" s="19"/>
      <c r="E586" s="20"/>
      <c r="F586" s="19"/>
      <c r="G586" s="21">
        <v>3000</v>
      </c>
      <c r="H586" s="83"/>
      <c r="J586" s="83"/>
    </row>
    <row r="587" spans="1:10" s="29" customFormat="1" ht="42" customHeight="1">
      <c r="A587" s="26">
        <v>96</v>
      </c>
      <c r="B587" s="27" t="s">
        <v>391</v>
      </c>
      <c r="C587" s="27"/>
      <c r="D587" s="28"/>
      <c r="E587" s="30"/>
      <c r="F587" s="28"/>
      <c r="G587" s="28">
        <f>G588+G590</f>
        <v>97047</v>
      </c>
      <c r="H587" s="80">
        <f>'[2]Місто'!$K$541-G587</f>
        <v>0</v>
      </c>
      <c r="J587" s="82"/>
    </row>
    <row r="588" spans="1:10" s="22" customFormat="1" ht="18" customHeight="1">
      <c r="A588" s="16" t="s">
        <v>79</v>
      </c>
      <c r="B588" s="17" t="s">
        <v>80</v>
      </c>
      <c r="C588" s="17" t="s">
        <v>401</v>
      </c>
      <c r="D588" s="19"/>
      <c r="E588" s="20"/>
      <c r="F588" s="19"/>
      <c r="G588" s="21">
        <f>'[2]Місто'!$K$543</f>
        <v>27975</v>
      </c>
      <c r="H588" s="83"/>
      <c r="J588" s="83"/>
    </row>
    <row r="589" spans="1:10" s="22" customFormat="1" ht="20.25" customHeight="1">
      <c r="A589" s="16"/>
      <c r="B589" s="17"/>
      <c r="C589" s="17" t="s">
        <v>84</v>
      </c>
      <c r="D589" s="19"/>
      <c r="E589" s="20"/>
      <c r="F589" s="19"/>
      <c r="G589" s="21">
        <v>6975</v>
      </c>
      <c r="H589" s="83"/>
      <c r="J589" s="83"/>
    </row>
    <row r="590" spans="1:10" s="22" customFormat="1" ht="20.25" customHeight="1">
      <c r="A590" s="16">
        <v>100203</v>
      </c>
      <c r="B590" s="17" t="s">
        <v>379</v>
      </c>
      <c r="C590" s="17" t="s">
        <v>81</v>
      </c>
      <c r="D590" s="19"/>
      <c r="E590" s="20"/>
      <c r="F590" s="19"/>
      <c r="G590" s="21">
        <f>'[2]Місто'!$K$545</f>
        <v>69072</v>
      </c>
      <c r="H590" s="83"/>
      <c r="J590" s="83"/>
    </row>
    <row r="591" spans="1:10" s="22" customFormat="1" ht="33.75" customHeight="1" hidden="1">
      <c r="A591" s="16" t="s">
        <v>307</v>
      </c>
      <c r="B591" s="17" t="s">
        <v>308</v>
      </c>
      <c r="C591" s="17" t="s">
        <v>81</v>
      </c>
      <c r="D591" s="19"/>
      <c r="E591" s="20"/>
      <c r="F591" s="19"/>
      <c r="G591" s="21"/>
      <c r="H591" s="83"/>
      <c r="J591" s="83"/>
    </row>
    <row r="592" spans="1:10" s="29" customFormat="1" ht="21" customHeight="1">
      <c r="A592" s="35"/>
      <c r="B592" s="36" t="s">
        <v>392</v>
      </c>
      <c r="C592" s="36"/>
      <c r="D592" s="31">
        <f>D587+D581+D577+D567+D547+D542+D537+D514+D510+D495+D490+D484+D481+D134+D128+D113+D97+D54+D19+D12+D493+D533+D111</f>
        <v>569988093</v>
      </c>
      <c r="E592" s="31"/>
      <c r="F592" s="31">
        <f>F587+F581+F577+F567+F547+F542+F537+F514+F510+F495+F490+F484+F481+F134+F128+F113+F97+F54+F19+F12+F493+F533+F111</f>
        <v>447195497.1</v>
      </c>
      <c r="G592" s="31">
        <f>G587+G581+G577+G567+G547+G542+G537+G514+G510+G495+G490+G484+G481+G134+G128+G113+G97+G54+G19+G12+G493+G533+G111</f>
        <v>155479493</v>
      </c>
      <c r="H592" s="80">
        <f>'[2]Місто'!$K$556-G592</f>
        <v>0</v>
      </c>
      <c r="I592" s="81">
        <f>'[4]Свод'!$K$134</f>
        <v>75638421</v>
      </c>
      <c r="J592" s="80">
        <f>I592-I12-I19-I54-I97-I113-I128-I134-I484-I495-I514-I547-I567-I581</f>
        <v>0</v>
      </c>
    </row>
    <row r="593" spans="1:7" s="22" customFormat="1" ht="18" customHeight="1">
      <c r="A593" s="69"/>
      <c r="B593" s="70"/>
      <c r="C593" s="70"/>
      <c r="D593" s="69"/>
      <c r="E593" s="69"/>
      <c r="F593" s="69"/>
      <c r="G593" s="71"/>
    </row>
    <row r="594" spans="1:7" s="22" customFormat="1" ht="27.75">
      <c r="A594" s="69"/>
      <c r="B594" s="72" t="s">
        <v>393</v>
      </c>
      <c r="C594" s="70"/>
      <c r="D594" s="69"/>
      <c r="E594" s="69"/>
      <c r="F594" s="73" t="s">
        <v>394</v>
      </c>
      <c r="G594" s="71"/>
    </row>
    <row r="597" spans="5:6" ht="15">
      <c r="E597" s="1">
        <v>10116</v>
      </c>
      <c r="F597" s="74">
        <f>G13+G98+G482+G491+G538+G548+G543+G568+G578+G582+G588</f>
        <v>1131648</v>
      </c>
    </row>
    <row r="598" spans="5:6" ht="15">
      <c r="E598" s="1">
        <v>70000</v>
      </c>
      <c r="F598" s="74">
        <f>G21+G23+G25+G27+G31</f>
        <v>8740132</v>
      </c>
    </row>
    <row r="599" spans="5:6" ht="15">
      <c r="E599" s="1">
        <v>80000</v>
      </c>
      <c r="F599" s="74">
        <f>G56+G58+G60+G62+G64</f>
        <v>11237827</v>
      </c>
    </row>
    <row r="600" spans="5:6" ht="15">
      <c r="E600" s="1">
        <v>90000</v>
      </c>
      <c r="F600" s="74">
        <f>G102+G104</f>
        <v>172910</v>
      </c>
    </row>
    <row r="601" spans="5:6" ht="15">
      <c r="E601" s="1">
        <v>110000</v>
      </c>
      <c r="F601" s="74">
        <f>G114+G116+G118+G120+G122</f>
        <v>3050260</v>
      </c>
    </row>
    <row r="602" spans="5:6" ht="15">
      <c r="E602" s="1">
        <v>100203</v>
      </c>
      <c r="F602" s="74">
        <f>G140+G545</f>
        <v>1447147</v>
      </c>
    </row>
    <row r="603" spans="5:6" ht="15">
      <c r="E603" s="1">
        <v>250404</v>
      </c>
      <c r="F603" s="74">
        <f>G143</f>
        <v>1287772</v>
      </c>
    </row>
    <row r="604" spans="5:6" ht="15">
      <c r="E604" s="1">
        <v>210000</v>
      </c>
      <c r="F604" s="74">
        <f>G512+G513</f>
        <v>6347408</v>
      </c>
    </row>
    <row r="605" spans="5:6" ht="15">
      <c r="E605" s="1">
        <v>171000</v>
      </c>
      <c r="F605" s="74">
        <f>G501</f>
        <v>480946</v>
      </c>
    </row>
    <row r="606" spans="5:6" ht="15">
      <c r="E606" s="1">
        <v>180409</v>
      </c>
      <c r="F606" s="74">
        <f>G457+G503</f>
        <v>4084021</v>
      </c>
    </row>
    <row r="607" spans="5:6" ht="15">
      <c r="E607" s="1">
        <v>150101</v>
      </c>
      <c r="F607" s="74">
        <f>G585+G575+G573+G565+G563+G560+G559+G558+G555+G553+G551+G531+G529+G525+G520+G519+G516+G499+G498+G455+G454+G452+G450+G448+G444+G442+G440+G438+G437+G435+G433+G431+G430+G428+G426+G424+G422+G420+G418+G416+G414+G410+G408+G406+G402+G398+G396+G394+G392+G390+G388+G386+G384+G382+G381+G378+G376+G373+G370+G368+G366+G364+G361+G359+G356+G354+G352+G350+G343+G342+G340+G337+G336+G333+G331+G329+G326+G320+G318+G316+G314+G312+G310+G309+G308+G307+G306+G305+G304+G300+G298+G296+G295+G293+G291+G288+G286+G245+G162+G160+G158+G154+G152+G151+G149+G147+G145+G130+G124+G109+G94+G92+G91+G90+G88+G86+G81+G79+G78+G77+G75+G73+G72+G70+G68+G53+G51+G49+G47+G45+G43+G41+G39+G37+G35+G16</f>
        <v>73150027</v>
      </c>
    </row>
  </sheetData>
  <sheetProtection selectLockedCells="1" selectUnlockedCells="1"/>
  <mergeCells count="7">
    <mergeCell ref="D3:F3"/>
    <mergeCell ref="A6:G6"/>
    <mergeCell ref="C9:C10"/>
    <mergeCell ref="D9:D10"/>
    <mergeCell ref="E9:E10"/>
    <mergeCell ref="F9:F10"/>
    <mergeCell ref="G9:G10"/>
  </mergeCells>
  <printOptions/>
  <pageMargins left="0.4724409448818898" right="0.31496062992125984" top="0.5905511811023623" bottom="0.2755905511811024" header="0.4724409448818898" footer="0.3937007874015748"/>
  <pageSetup fitToHeight="18" fitToWidth="1" horizontalDpi="600" verticalDpi="600" orientation="landscape" paperSize="9" scale="65"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2014-03-26T06:16:21Z</cp:lastPrinted>
  <dcterms:created xsi:type="dcterms:W3CDTF">2013-02-22T14:02:03Z</dcterms:created>
  <dcterms:modified xsi:type="dcterms:W3CDTF">2014-04-09T11:49:38Z</dcterms:modified>
  <cp:category/>
  <cp:version/>
  <cp:contentType/>
  <cp:contentStatus/>
</cp:coreProperties>
</file>