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570" windowWidth="18930" windowHeight="6945" tabRatio="612" activeTab="1"/>
  </bookViews>
  <sheets>
    <sheet name="таб. 4.1" sheetId="1" r:id="rId1"/>
    <sheet name="таб. 4.2" sheetId="2" r:id="rId2"/>
  </sheets>
  <definedNames>
    <definedName name="_xlnm.Print_Titles" localSheetId="0">'таб. 4.1'!$13:$13</definedName>
    <definedName name="_xlnm.Print_Titles" localSheetId="1">'таб. 4.2'!$6:$6</definedName>
    <definedName name="_xlnm.Print_Area" localSheetId="0">'таб. 4.1'!$A$1:$H$410</definedName>
    <definedName name="_xlnm.Print_Area" localSheetId="1">'таб. 4.2'!$A$1:$D$94</definedName>
  </definedNames>
  <calcPr fullCalcOnLoad="1"/>
</workbook>
</file>

<file path=xl/sharedStrings.xml><?xml version="1.0" encoding="utf-8"?>
<sst xmlns="http://schemas.openxmlformats.org/spreadsheetml/2006/main" count="1396" uniqueCount="458">
  <si>
    <t>Районна адміністрація Запорізької міської ради по Комунарському  району</t>
  </si>
  <si>
    <t>100106</t>
  </si>
  <si>
    <t>Капітальний ремонт житлового фонду об'єднань співвласників багатоквартирних будинків</t>
  </si>
  <si>
    <t>Районна адміністрація Запорізької міської ради по Ленінському району</t>
  </si>
  <si>
    <t>90</t>
  </si>
  <si>
    <t>091209</t>
  </si>
  <si>
    <t>Фінансова підтримка громадських організацій інвалідів і ветеранів</t>
  </si>
  <si>
    <t>91</t>
  </si>
  <si>
    <t>Районна адміністрація Запорізької міської ради по Хортицькому району</t>
  </si>
  <si>
    <t>Реконструкція житлових будинків по пр. Леніна, 171, пр. Леніна, 171а, пр. Леніна, 173 (проектні роботи та експертиза)</t>
  </si>
  <si>
    <t>вул. Грязнова, 2</t>
  </si>
  <si>
    <t>вул. Козача, 47</t>
  </si>
  <si>
    <t>пр. Леніна, 148</t>
  </si>
  <si>
    <t>вул. Комунарівська, 64</t>
  </si>
  <si>
    <t>вул. Свердлова, 39</t>
  </si>
  <si>
    <t>пр. Леніна, 96</t>
  </si>
  <si>
    <t>вул. Історична, 37а</t>
  </si>
  <si>
    <t>вул. Молодіжна, 85</t>
  </si>
  <si>
    <t>вул. Чернівецька, 5</t>
  </si>
  <si>
    <t>вуд. Дніпропетровське шосе, 54</t>
  </si>
  <si>
    <t>вул. Ногіна, 5а</t>
  </si>
  <si>
    <t>вул. Ладозька, 14</t>
  </si>
  <si>
    <t>вул. Кремлівська, 17</t>
  </si>
  <si>
    <t>вул. Гребельна, 1</t>
  </si>
  <si>
    <t>пр. Леніна, 192</t>
  </si>
  <si>
    <t>вул. 14 Жовтня, 9</t>
  </si>
  <si>
    <t>пр. Ювілейний, 29</t>
  </si>
  <si>
    <t>пр. Ювілейний, 24/1</t>
  </si>
  <si>
    <t>вул. Задніпровська, 36</t>
  </si>
  <si>
    <t>вул. Лахтинська, 7</t>
  </si>
  <si>
    <t>пр. Моторобудівників, 3</t>
  </si>
  <si>
    <t>вул. Грязнова, 90а</t>
  </si>
  <si>
    <t>вул. Уральська, 27</t>
  </si>
  <si>
    <t>вул. Деповська, 85</t>
  </si>
  <si>
    <t>вул. Перемоги, 87а</t>
  </si>
  <si>
    <t>вул. Нежинська, 68а</t>
  </si>
  <si>
    <t>вул. Українська,8</t>
  </si>
  <si>
    <t>вул. Гоголя, 124</t>
  </si>
  <si>
    <t>вул. Горького, 55</t>
  </si>
  <si>
    <t>вул. Грязнова, 1а</t>
  </si>
  <si>
    <t>вул. Грязнова, 4</t>
  </si>
  <si>
    <t>вул. Історична, 20а</t>
  </si>
  <si>
    <t>вул. Зестафонська, 1</t>
  </si>
  <si>
    <t>вул. Ладозька, 32</t>
  </si>
  <si>
    <t>вул. Руставі, 3а</t>
  </si>
  <si>
    <t>бул. Гвардійський, 136</t>
  </si>
  <si>
    <t>вул. Запорізького козацтва,3</t>
  </si>
  <si>
    <t>бул. Будівельників, 19</t>
  </si>
  <si>
    <t>бул. Будівельників, 13</t>
  </si>
  <si>
    <t>пр. Мотробудівників, 26</t>
  </si>
  <si>
    <t>вул. Військбуд, 84</t>
  </si>
  <si>
    <t>Реконструкція контейнерного майданчика по вул. Матросова, 25 - погашення заборгованості за минулі роки</t>
  </si>
  <si>
    <t>Реконструкція контейнерного майданчика по вул. Перемоги, 22 м. Запоріжжя (проектні та будівельні роботи)</t>
  </si>
  <si>
    <t>Реконструкція контейнерного майданчика по вул. Патріотична,80 м. Запоріжжя (проектні та будівельні роботи)</t>
  </si>
  <si>
    <t>Реконструкція контейнерного майданчика по вул. Кам"яногірська, 2 м. Запоріжжя (проектні та будівельні роботи)</t>
  </si>
  <si>
    <t>Реконструкція дороги по вул. Глісерній з автомобільною стоянкою в районі парку «Дубовий гай» м. Запоріжжя - погашення заборгованості за минулі роки</t>
  </si>
  <si>
    <t>Будівництво світлофорного об'єкту на перехресті вул. Північне шосе - дорога на Сталепрокатний завод</t>
  </si>
  <si>
    <t>Будівництво капітальної будівлі громадського туалету на Центральному міському пляжі по Прибрежній магістралі в м.Запоріжжі (проектні та будівельні роботи)</t>
  </si>
  <si>
    <t>Будівництво інженерних мереж до громадських модульних туалетів на Центральному міському пляжі по Прибрежній магістралі в м.Запоріжжі (проектні та будівельні роботи) - погашення заборгованості за минулі роки</t>
  </si>
  <si>
    <t>Будівництво каналізаційної насосної станції та мереж електропостачання в районі Прибрежної магістралі - вул. Тбіліська (проектні та будівельні роботи)</t>
  </si>
  <si>
    <t>Концерн "Міські теплові мережі" (придбання автомобіль ЗАЗ Lanos - 2 одиниці, автомобіль Chevrolet Lacetti - 2 одиниці, автомобіль Chevrolet Epica - 1 одиниця)</t>
  </si>
  <si>
    <t>Реконструкція приміщень другого поверху травматологічного корпусу КУ "Міська багатопрофільна клінічна лікарня №9" під відділення інтенсивної терапії (проектні роботи)</t>
  </si>
  <si>
    <t>Ліквідація аварійного стану будівлі навчально-виховного комплексу № 19 по вул. Військбуд, 13 Шевченківського району (проектні та будівельні роботи)</t>
  </si>
  <si>
    <t>Реконструкція мереж зовнішнього освітлення дитячого майданчика по вул. Дорошенка, 6 у м.Запоріжжя  (проектні роботи, експертиза)</t>
  </si>
  <si>
    <t>Реконструкція скверу на пл. Театральній зі спорудженням пам"ятника Т.Г. Шевченку (проектні роботи та експертиза) - погашення заборгованості за минулі роки</t>
  </si>
  <si>
    <t>Реконструкція скверу  Театрального  в м. Запоріжжя (проектні та будівельні роботи)</t>
  </si>
  <si>
    <t>150118</t>
  </si>
  <si>
    <t>Житлове будівництво та придбання житла для окремих категорій населення</t>
  </si>
  <si>
    <t>Придбання житла для окремих категорій громадян</t>
  </si>
  <si>
    <t>КП "Запоріжміськсвітло"</t>
  </si>
  <si>
    <t>Комунальне підприємство "Запоріжміськсвітло"</t>
  </si>
  <si>
    <t>171000</t>
  </si>
  <si>
    <t>Діяльність і послуги не віднесені до інших категорій</t>
  </si>
  <si>
    <t>Модернізація контактної мережі тролейбусу на греблі "Дніпрогес" та дільниці від площі Леніна до естакади через шлюзи</t>
  </si>
  <si>
    <t>ЗКПМЕ "Запоріжелектротранс"</t>
  </si>
  <si>
    <t>Запорізьке комунальне підприємство міського електротранспорту "Запоріжелектротранс" (проведення капітального ремонту понтону, реконструкція 2-х котелень, що обслуговують вагоноремонтні майстерні та тролейбусний парк №1)</t>
  </si>
  <si>
    <t>Будівництво житлового будинку № 25 в кварталі  по вул.Алмазній у сел. Павло-Кічкас м. Запоріжжя (проектні та будівельні роботи)</t>
  </si>
  <si>
    <t>Будівництво житлового будинку № 10 в мікрорайоні 5 житлового масиву "Південний", м. Запоріжжя (пілотний проект)</t>
  </si>
  <si>
    <t>Будівництво позаквартальних інженерних мереж та споруд по вул. Алмазній  (проектні роботи)</t>
  </si>
  <si>
    <t>24.04.2013 №4</t>
  </si>
  <si>
    <t xml:space="preserve">Реконструкція мереж зовнішнього освітлення по вул. Молодогвардійська </t>
  </si>
  <si>
    <t>Реконструкція мереж зовнішнього освітлення по вул. Теплова</t>
  </si>
  <si>
    <t xml:space="preserve">Реконструкція мереж зовнішнього освітлення по вул. Владивостоцька </t>
  </si>
  <si>
    <t>Реконструкція мереж зовнішнього освітлення по вул. Іртишська</t>
  </si>
  <si>
    <t xml:space="preserve">Реконструкція мереж зовнішнього освітлення по вул. Карбишева </t>
  </si>
  <si>
    <t xml:space="preserve">Реконструкція мереж зовнішнього освітлення по вул. Деповська </t>
  </si>
  <si>
    <t>Реконструкція мереж зовнішнього освітлення по вул. Компресорна</t>
  </si>
  <si>
    <t xml:space="preserve">Реконструкція мереж зовнішнього освітлення по вул. Автодорівська </t>
  </si>
  <si>
    <t xml:space="preserve">Реконструкція мереж зовнішнього освітлення по вул. Редакційна </t>
  </si>
  <si>
    <t>Реконструкція мереж зовнішнього освітлення по вул. Синельниківська</t>
  </si>
  <si>
    <t>Реконструкція мереж зовнішнього освітлення по вул. Причальна</t>
  </si>
  <si>
    <t>Реконструкція мереж зовнішнього освітлення по вул. Армавірська</t>
  </si>
  <si>
    <t>Реконструкція мереж зовнішнього освітлення по вул. Кустанайська</t>
  </si>
  <si>
    <t>Будівництво світлофорного об'єкту на перехресті вул.Чумаченка - вул.Олімпійська</t>
  </si>
  <si>
    <t>в тому числі</t>
  </si>
  <si>
    <t>Комунальне підприємство "Експлуатаційне лінійне управління автомобільних шляхів" (придбання вантажно-пасажирського фургону типу ГАЗ 2705 "Газель" - 3 одиниці, вантажного автомобілю для перевезення сміття типу ГАЗ 3309 - 6 одиниць)</t>
  </si>
  <si>
    <t>Міське комунальне підприємство "Основаніє" (придбання вантажопасажирського автомобілю "Соболь" - 10 одиниць, трактору з навісним обладнанням для прибирання території - 9 одиниць, спецобладнання для усунення аварійних ситуацій - 10 одиниць, комплект вимірювальних приладів для лабораторії діагностики деформацій житлових будинків - 1 одиниця)</t>
  </si>
  <si>
    <t>Внески у статутні капітали комунальних підприємств міста  - погашення заборгованості за минулі роки</t>
  </si>
  <si>
    <t>Комунальне підприємство "Експлуатаційне лінійне управління автомобільних шляхів" (придбання тротуароприбиральної машини Джонстон CN 101 - 2 одиниці, підмітально-прибиральної машини Brod Sweeden AB Scandia 2 - 1 одиниця, дорожньо-розміточної машини Graco Line Lazer IV 3900 - 1 одиниця)</t>
  </si>
  <si>
    <t>Міське комунальне підприємство "Основаніє" (придбання мотоблоків з причепом - 20 одиниць, шнеків для розчищення снігу - 50 одиниць, екскаваторів Борекс - 2106 - 2 одиниці, трактору ХТЗ 2511 - 3 одиниці)</t>
  </si>
  <si>
    <t>Внески у статутні капітали комунальних підприємств міста</t>
  </si>
  <si>
    <t>КП "ЕЛУАШ"</t>
  </si>
  <si>
    <t>Концерн "Міські теплові мережі"</t>
  </si>
  <si>
    <t>Комунальне підприємство "Міжнародний аеропорт Запоріжжя" (проведення заходів для проходження чергової  сертифікаційної перевірки)</t>
  </si>
  <si>
    <t>КП "Міжнародний аеропорт Запоріжжя"</t>
  </si>
  <si>
    <t xml:space="preserve">Реконструкція ділянки пішохідної алеї від вул. Правда до вул. Патріотична (проектні та будівельні роботи)  </t>
  </si>
  <si>
    <t>Будівництво декоративних підпірних стін від вул. Правда до вул. Перемога (проектні та будівельні роботи)</t>
  </si>
  <si>
    <t xml:space="preserve">Реконструкція будівлі загальноосвітньої школи І-ІІІ ступенів № 75 по вул.Історична,92 Заводського району </t>
  </si>
  <si>
    <t>Житловий будинок по пр. Леніна, 133  м. Запоріжжя - ліквідація  аварійного стану надбудови над аркою</t>
  </si>
  <si>
    <t>Назва головного розпорядника коштів</t>
  </si>
  <si>
    <t>150101</t>
  </si>
  <si>
    <t>Загальний обсяг фінансування будівництва (інших капітальних вкладень, кошторисна вартість</t>
  </si>
  <si>
    <t>Капітальні вкладення</t>
  </si>
  <si>
    <t xml:space="preserve">Магістральна теплова мережа по вул. Героїв Сталінграду, м. Запоріжжя - реконструкція </t>
  </si>
  <si>
    <t>150121</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</si>
  <si>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</si>
  <si>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Департамент економічного розвитку Запорізької міської ради</t>
  </si>
  <si>
    <t>Водогін Д=800 мм в балці "Панська" у районі кладовища "Бугайова", м.Запоріжжя - реконструкція</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</si>
  <si>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</si>
  <si>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Реконструкція будівлі дошкільного навчального закладу № 285  по пр. 40-річчя Перемоги, 15а, Комунарського району (проектні та будівельні роботи)</t>
  </si>
  <si>
    <t xml:space="preserve">Реконструкція будівлі дошкільного навчального закладу № 220 по вул. Давидова, 11 Ленінського району м.Запоріжжя - реконструкція (проектні та будівельні роботи) </t>
  </si>
  <si>
    <t>Реконструкція будівлі дошкільного навчального закладу №294 по вул. Лассаля, 52а Заводського району, м.Запоріжжя (проектні та будівельні роботи)</t>
  </si>
  <si>
    <t>Департамент освіти і науки, молоді та спорту Запорізької міської ради</t>
  </si>
  <si>
    <t>Управління з питань охорони здоров"я  Запорізької  міської ради</t>
  </si>
  <si>
    <t>Управління соціального захисту населення Запорізької міської ради</t>
  </si>
  <si>
    <t>Газифікація житлових будинків по вул. Шушенська в Ленінському районі м.Запоріжжя (проектні та будівельні роботи)</t>
  </si>
  <si>
    <t>Районна адміністрація Запорізької міської ради по Орджонікідзевському району</t>
  </si>
  <si>
    <t>Реконструкція парку "Трудової слави" в м. Запоріжжі</t>
  </si>
  <si>
    <t>Реконструкція тротуарів з влаштуванням велодоріжок від парку "Дубовий гай" до Ландшафтного парку вздовж Прибрежної магістралі в м. Запоріжжі (проектні роботи та експертиза)</t>
  </si>
  <si>
    <t xml:space="preserve">Реконструкція приміщень загальноосвітньої школи І-ІІІ ступенів  № 5 по вул. Тургенєва, 33 Жовтневого району (проектні та будівельні роботи)  </t>
  </si>
  <si>
    <t>Реконструкція дороги по вул. Південноукраїнська та вул. Панфіловців з влаштуванням гостьових автомобільних стоянок (проектні роботи, експертиза)</t>
  </si>
  <si>
    <t>Реконструкція дороги по вул. Чубаря з влаштуванням гостьових автомобільних стоянок (проектні роботи, експертиза)</t>
  </si>
  <si>
    <t>Реконструкція пішохідної алеї від вул. Чубаря до вул. Південноукраїнської (проектні роботи, експертиза)</t>
  </si>
  <si>
    <t>Будівництво світлофорного об'єкту на перехресті вул. Леппіка - вул. Дзержинського</t>
  </si>
  <si>
    <t>Будівництво світлофорного об'єкту на перехресті вул. Гоголя - вул. Комунарівська</t>
  </si>
  <si>
    <t>Будівництво теплиці "Запорізького міського ботанічного саду" І черга (проектні роботи та будівництво)</t>
  </si>
  <si>
    <t>Житловий будинок № 149 по вул. Гоголя ІІ корпус - реконструкція нежитлового приміщення в житлове</t>
  </si>
  <si>
    <t>180409</t>
  </si>
  <si>
    <t xml:space="preserve">Газифікація житлових будинків № 7, 9, 10, 11, 12, 14 по вул. Пшеничній сел. Будівельників Шевченківського району м.Запоріжжя </t>
  </si>
  <si>
    <t>Реконструкція тротуару по вул. Новокузнецькій (непарна сторона)</t>
  </si>
  <si>
    <t>Будівництво світлофорного об'єкту на перехресті вул. Сєдова - виїзд з 7 медсанчастини</t>
  </si>
  <si>
    <t>Житловий будинок по вул. Республіканській,185 - реконструкція  системи теплопостачання</t>
  </si>
  <si>
    <t>Районна адміністрація Запорізької міської ради по Заводському району</t>
  </si>
  <si>
    <t>Реконструкція скверу, прилеглого до ПК "Заводський" з улаштуванням дитячого майданчику</t>
  </si>
  <si>
    <t>210105</t>
  </si>
  <si>
    <t>Реконструкція хлораторної ДВС-2,  м. Запоріжжя (проектні та будівельні роботи)</t>
  </si>
  <si>
    <t>ЗАТВЕРДЖЕНО</t>
  </si>
  <si>
    <t>Рішення міської ради</t>
  </si>
  <si>
    <t>Додаток 4</t>
  </si>
  <si>
    <t>Таблиця 4.1</t>
  </si>
  <si>
    <t>(тис.грн.)</t>
  </si>
  <si>
    <t>Код типової відомчої класифікації видатків місцевих бюджетів</t>
  </si>
  <si>
    <t>Назва об'єктів відповідно до проектно-кошторисної документації, тощо</t>
  </si>
  <si>
    <t xml:space="preserve">Відсоток завершеності будівництва об'єкта на майбутні роки </t>
  </si>
  <si>
    <t>Всього видатків на завершення будівництва об'єктів на майбутні роки</t>
  </si>
  <si>
    <t>Замовник / розпорядник бюджетних коштів нижчого рівня / одержувач бюджетних коштів</t>
  </si>
  <si>
    <t>Код тимчасової класифікації та кредитування місцевих бюджетів</t>
  </si>
  <si>
    <t>Найменування коду тимчасової класифікації видатків та кредитування місцевих бюджетів</t>
  </si>
  <si>
    <t>Всього</t>
  </si>
  <si>
    <t>Видатки на 2013 рік</t>
  </si>
  <si>
    <t xml:space="preserve">Перелік видатків,  які у 2013 році будуть проводитися за рахунок коштів бюджету розвитку міста </t>
  </si>
  <si>
    <t xml:space="preserve">Перелік першочергових об'єктів будівництва, реконструкції та ліквідації аварійного стану об'єктів, видатки на які у 2013 році будуть проводитися за рахунок коштів бюджету розвитку міста </t>
  </si>
  <si>
    <t>Видатки на запобігання та ліквідацію надзвичайних ситуацій та наслідків стихійного лиха</t>
  </si>
  <si>
    <t>Погашення основної суми боргу за запозиченням у формі VІІ випуску облігацій  внутрішньої місцевої позики</t>
  </si>
  <si>
    <t xml:space="preserve">Управління розвитку підприємництва та дозвільних послуг Запорізької міської ради </t>
  </si>
  <si>
    <t>до Програми економічного і соціального розвитку                                                                                   м. Запоріжжя на 2013 рік</t>
  </si>
  <si>
    <t>КП "УКБ"</t>
  </si>
  <si>
    <t>Таблиця 4.2</t>
  </si>
  <si>
    <t>03</t>
  </si>
  <si>
    <t>Виконавчий комітет міської ради</t>
  </si>
  <si>
    <t>010116</t>
  </si>
  <si>
    <t>Органи місцевого самоврядування</t>
  </si>
  <si>
    <t>капітальні видатки</t>
  </si>
  <si>
    <t>Інші видатки</t>
  </si>
  <si>
    <t>070101</t>
  </si>
  <si>
    <t>Дошкільні заклади освіти</t>
  </si>
  <si>
    <t>070201</t>
  </si>
  <si>
    <t xml:space="preserve">Загальноосвітні школи (в т.ч. школа-дитячий садок, інтернат при школі), спеціалізовані школи, ліцеї, гімназії, колегіуми </t>
  </si>
  <si>
    <t>070401</t>
  </si>
  <si>
    <t>Позашкільні заклади освіти, заходи із позашкільної роботи з дітьми</t>
  </si>
  <si>
    <t>091101</t>
  </si>
  <si>
    <t>Утримання центрів соціальних служб для сім"ї, дітей та молоді</t>
  </si>
  <si>
    <t>Управління з питань охорони здоров'я  Запорізької  міської ради</t>
  </si>
  <si>
    <t>080101</t>
  </si>
  <si>
    <t>Лікарні</t>
  </si>
  <si>
    <t>080203</t>
  </si>
  <si>
    <t>Пологові будинки</t>
  </si>
  <si>
    <t>080300</t>
  </si>
  <si>
    <t>Поліклініки і амбулаторії (крім спеціалізованих поліклінік та загальних і спеціалізованих стоматологічних поліклінік)</t>
  </si>
  <si>
    <t>090203</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</si>
  <si>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</si>
  <si>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Управління культури і мистецтв Запорізької міської ради</t>
  </si>
  <si>
    <t>110102</t>
  </si>
  <si>
    <t>Театри</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</si>
  <si>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</si>
  <si>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</si>
  <si>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</si>
  <si>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</si>
  <si>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</si>
  <si>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</si>
  <si>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</si>
  <si>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</si>
  <si>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Управління розвитку підприємництва та дозвільних послуг Запорізької міської ради</t>
  </si>
  <si>
    <t>100102</t>
  </si>
  <si>
    <t>Капітальний ремонт житлового фонду місцевих органів ради</t>
  </si>
  <si>
    <t>250404</t>
  </si>
  <si>
    <t xml:space="preserve">                                                                                                                                                                                                                                                                                                                                                                                                                                                                                                                                                                                                                                                                                                                                                                                                                                                                                                                                                                                                                                                                                </t>
  </si>
  <si>
    <t>100203</t>
  </si>
  <si>
    <t>Департамент комунальної власності та приватизації Запорізької міської ради</t>
  </si>
  <si>
    <t>Секретар міської ради</t>
  </si>
  <si>
    <t>Р.О. Таран</t>
  </si>
  <si>
    <t>Перелік капітальних видатків, які у 2013 році будуть проводитися за рахунок коштів бюджету розвитку  міста</t>
  </si>
  <si>
    <t>Реконструкція Набережної магістралі (проектні та будівельні роботи)</t>
  </si>
  <si>
    <t xml:space="preserve">Будівництво систем відеоспостереження у місцях масового перебування громадян </t>
  </si>
  <si>
    <t>Прибудова до загальноосвітньої школи І-ІІІ ступенів № 104 по вул. Кремлівська, 65в Ленінського району - будівництво (проектні та будівельні роботи)</t>
  </si>
  <si>
    <t>Реконструкція будівлі по вул. Таганська, 8 під соціальний готель (проектні та будівельні роботи)</t>
  </si>
  <si>
    <t>Будівництво дитячих майданчиків  (проектні та будівельні роботи)</t>
  </si>
  <si>
    <t xml:space="preserve">Будівництво спортивних майданчиків </t>
  </si>
  <si>
    <t>Реконструкція житлового будинку по пл. Профспілок, 4</t>
  </si>
  <si>
    <t>Винос водогону з під житлової забудови по вул. Первомайській (від вул. Кооперативної до вул. Української, 92) (проектні та будівельні роботи)</t>
  </si>
  <si>
    <t>Попередження створення аварійної ситуацій житлових будинків по вул. Нагнибіди, 11, 11а (проектні та будівельні роботи)</t>
  </si>
  <si>
    <t>Управління з питань земельних відносин Запорізької міської ради</t>
  </si>
  <si>
    <t>65</t>
  </si>
  <si>
    <t>Управління з питань транспортного забезпечення та зв"язку Запорізької міської ради</t>
  </si>
  <si>
    <t>210110</t>
  </si>
  <si>
    <t>Заходи з організації рятування на водах</t>
  </si>
  <si>
    <t>Реконструкція будівлі дошкільного навчального закладу №186 по вул.12 Квітня, 2а (проектні та будівельні роботи)</t>
  </si>
  <si>
    <t>Будівля поліклініки комунальної установи «Запорізька міська багатопрофільна клінічна лікарня №9», м.Запоріжжя - реконструкція  (проектні та будівельні роботи)</t>
  </si>
  <si>
    <t>Реконструкція приміщень роздягальні та комп"ютерного класу навчально-виховного оздоровчого комплексу  № 110  по вул.Стешенка,19 Комунарського району (проектні та будівельні роботи)</t>
  </si>
  <si>
    <t>Реконструкція автодороги Запоріжжя-Підпорожнянка в районі шлакових відвалів ВАТ "Запоріжсталь"</t>
  </si>
  <si>
    <t>091204</t>
  </si>
  <si>
    <t>Територіальні центри соціального обслуговування (надання соціальних послуг)</t>
  </si>
  <si>
    <t>Реконструкція зовнішнього електропостачання будівлі Палацу спорту "Юність" (проектні роботи, експертиза)</t>
  </si>
  <si>
    <t>Інженерне забезпечення (електропостачання) об'єкту "Будівництво та облаштування притулку для утримання безпритульних тварин м.Запоріжжя"</t>
  </si>
  <si>
    <t>95</t>
  </si>
  <si>
    <t>Районна адміністрація Запорізької міської ради по Жовтневому району</t>
  </si>
  <si>
    <t>Будівництво дитячого будинку сімейного типу (проектно-вишукувальні роботи)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</si>
  <si>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</si>
  <si>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Департамент житлово-комунального господарства Запорізької міської ради</t>
  </si>
  <si>
    <t>Департамент житлово-комунального  господарства Запорізької міської ради</t>
  </si>
  <si>
    <t>Благоустрій міст, сіл, селищ</t>
  </si>
  <si>
    <t>Реконструкція водопроводу Д-630 мм по вул. Первомайській (від ЗЦП до вул. Кооперативної) (проектні та будівельні роботи)</t>
  </si>
  <si>
    <t>Реконструкція інженерних мереж на перехресті пр.Леніна та пр.Металургів м.Запоріжжя (проектні та будівельні роботи)</t>
  </si>
  <si>
    <t>Будівництво теплової мережі до 3-ої секції житлового будинку по вул.Дзержинського, 114 (проектні та будівельні роботи)</t>
  </si>
  <si>
    <t>Внески органів місцевого самоврядування у статутні капітали суб'єктів підприємницької діяльності</t>
  </si>
  <si>
    <t xml:space="preserve">Управління з питань попередження надзвичайних ситуацій та цивільного захисту населення Запорізької міської ради </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</si>
  <si>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</si>
  <si>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Реконструкція вул. Лермонтова (від вул.Правди до вул.Заводської) м.Запоріжжя (проектні та будівельні роботи)</t>
  </si>
  <si>
    <t>Будівля навчального комплексу "Запорізька Січ" о.Хортиця, м.Запоріжжя - реконструкція</t>
  </si>
  <si>
    <t xml:space="preserve">Виконавчий комітет міської ради </t>
  </si>
  <si>
    <t>33</t>
  </si>
  <si>
    <t xml:space="preserve">Управління реєстрації та єдиного реєстру Запорізької міської ради </t>
  </si>
  <si>
    <t>92</t>
  </si>
  <si>
    <t>38,907</t>
  </si>
  <si>
    <t>2,896</t>
  </si>
  <si>
    <t>96</t>
  </si>
  <si>
    <t>146,388</t>
  </si>
  <si>
    <t>в тому числі погашення заборгованості за минулі роки</t>
  </si>
  <si>
    <t>Реконструкція ринку Соцміста КП "Запоріжринок" вул. Рекордна, 2, м. Запоріжжя (проектні та будівельні роботи)</t>
  </si>
  <si>
    <t>Придбання житла для воїнів-інтернаціоналістів - погашення заборгованості за минулі роки</t>
  </si>
  <si>
    <t>Реконструкція приміщень навчально-виховного оздоровчого комплексу  № 110  по вул.Стешенка,19 Комунарського району під позашкільний підрозділ - погашення заборгованості за минулі роки</t>
  </si>
  <si>
    <t>Комунальна установа «Міська клінічна лікарня екстреної та швидкої медичної допомоги м.Запоріжжя» -  реконструкція травматологічного відділення (проектні та будівельні роботи) - погашення заборгованості за минулі роки</t>
  </si>
  <si>
    <t>Реконструкція підстанції швидкої та медичної допомоги комунальної установи "Міська клінічна лікарня екстреної та швидкої медичної допомоги м.Запоріжжя" по вул.Демократичній, 127 в Заводському районі (проектні роботи) - погашення заборгованості за минулі роки</t>
  </si>
  <si>
    <t>Реконструкція прибудови до житлової будівлі під амбулаторію сімейного лікаря по вул. Дорошенко, 3 в Хортицькому районі - погашення заборгованості за минулі роки</t>
  </si>
  <si>
    <t>Реконструкція частини будівлі під амбулаторію сімейного лікаря по вул. Воронезька, 10 в Хортицькому районі  - погашення заборгованості за минулі роки</t>
  </si>
  <si>
    <t>Реконструкція першого поверху житлового будинку по вул. Новокузнецька, 20-а під амбулаторію сімейного лікаря в мікрорайоні "Південний"  Комунарського району  - погашення заборгованості за минулі роки</t>
  </si>
  <si>
    <t>Реконструкція приміщень управління праці та соціального захисту населення Запорізької міської ради по  Хортицькому району за адресою: вул. Лахтинська, 4-Б (проектні та будівельні роботи) - погашення заборгованості за минулі роки</t>
  </si>
  <si>
    <t>Реконструкція будівлі міського геріатричного стаціонару по вул. Кузнєцова, 28а (проектні та будівельні роботи) - погашення заборгованості за минулі роки</t>
  </si>
  <si>
    <t>Реконструкція, переобладнання та перепланування гуртожитку під житловий будинок  по вул. Нахімова, 6  - погашення заборгованості за минулі роки</t>
  </si>
  <si>
    <t>Будівництво мереж зовнішнього освітлення по вул. Горького (від вул. Радянської до вул. Червоногвардійської) (проектні та будівельні роботи) -  погашення заборгованості за минулі роки</t>
  </si>
  <si>
    <t>Будівництво мереж зовнішнього освітлення по вул. Свердлова (від вул.Жуковського до вул. Гоголя) (проектні та будівельні роботи) -  погашення заборгованості за минулі роки</t>
  </si>
  <si>
    <t>Будівництво мереж зовнішнього освітлення вулиці Історична від буд. 1 до буд. 5 (проектні роботи) -  погашення заборгованості за минулі роки</t>
  </si>
  <si>
    <t>Будівництво мереж зовнішнього освітлення вулиці  Косарєва (проектні роботи) -  погашення заборгованості за минулі роки</t>
  </si>
  <si>
    <t>Будівництво мереж зовнішнього освітлення  пров.Кедровий (проектні роботи) -  погашення заборгованості за минулі роки</t>
  </si>
  <si>
    <t>Будівництво мереж зовнішнього освітлення пров.Якутський (проектні роботи) -  погашення заборгованості за минулі роки</t>
  </si>
  <si>
    <t>Реконструкція шляхопроводу через р. Мокра Московка на автошляху Харків-Сімферополь (проектні роботи) -  погашення заборгованості за минулі роки</t>
  </si>
  <si>
    <t>Реконструкція автошляхопроводу  по вул. Карпенка-Карого (проектні роботи, експертиза) -  погашення заборгованості за минулі роки</t>
  </si>
  <si>
    <t>Ліквідація аварійного стану на ділянці дороги загального користування М-18 траса Харків-Сімферополь-Алушта-Ялта (в районі "М'ясокомбінату") (проектні роботи, експертиза, будівництво) -  погашення заборгованості за минулі роки</t>
  </si>
  <si>
    <t>Будівництво дорожнього полотна провулку Ставропольського (проектні та будівельні роботи) -  погашення заборгованості за минулі роки</t>
  </si>
  <si>
    <t>Завершення будівництва по вул. Калнишевського, вул. Дорошенко, вул. Рубана (зовнішнє освітлення та дороги)  -  погашення заборгованості за минулі роки</t>
  </si>
  <si>
    <t>Реконструкція дороги по вул. Нагнибіди в Комунарському районі (проектні роботи, експертиза) -  погашення заборгованості за минулі роки</t>
  </si>
  <si>
    <t>Реконструкція пр. Леніна на ділянці від вул. Кірова до залізничній станції «Запоріжжя-1» (ділянка від вул. Кірова до вул. Космічної) -  погашення заборгованості за минулі роки</t>
  </si>
  <si>
    <t>Реконструкція вул. Шамотної в межах від вул. Електричної до вул. Шламової (проектні та будівельні роботи) -  погашення заборгованості за минулі роки</t>
  </si>
  <si>
    <t>Реконструкція вул. Фінальної в межах від вул. Північне шосе до вул. Історичної (проектні та будівельні роботи) -  погашення заборгованості за минулі роки</t>
  </si>
  <si>
    <t>Реконструкція вул.Ніжинської в межах від вул. Олександра Невського до вул. Шмідта (проектні та будівельні роботи) -  погашення заборгованості за минулі роки</t>
  </si>
  <si>
    <t>Реконструкція вул. Кияшка в межах від бул. Вінтера до вул. Михайлова (проектні та будівельні роботи) -  погашення заборгованості за минулі роки</t>
  </si>
  <si>
    <t>Реконструкція вул.Медичної в межах від вул.Айвазовського до вул. Панаса Мирного (проектні та будівельні роботи) -  погашення заборгованості за минулі роки</t>
  </si>
  <si>
    <t>Реконструкція парку   «Перемоги» в м. Запоріжжя (ІІ черга) -  погашення заборгованості за минулі роки</t>
  </si>
  <si>
    <t>Реконструкція скидного зливового колектору в районі насосної станції № 29 в Хортицькому районі (проектні роботи, експертиза) -  погашення заборгованості за минулі роки</t>
  </si>
  <si>
    <t>Котельня по вул. Панфьорова, 146а - технічне переоснащення -  погашення заборгованості за минулі роки</t>
  </si>
  <si>
    <t>Розширення і реконструкція центральних каналізаційних очисних споруд Лівого берега (ЦОС-1). Технологічні трубопроводи. (Колектор К-28)  -  погашення заборгованості за минулі роки</t>
  </si>
  <si>
    <t>Реконструкція  пам'ятника "Металургам" в м. Запоріжжя (проектні та будівельні роботи)  -  погашення заборгованості за минулі роки</t>
  </si>
  <si>
    <t>Реконструкція дитячого містечка в районі вул. Південноукраїнська з установкою малих архітектурних форм (проектні та будівельні роботи) -  погашення заборгованості за минулі роки</t>
  </si>
  <si>
    <t>Реконструкція зовнішнього освітлення в районі вул. Правда - вул. Чубаря, м.Запоріжжя (проектні та будівельні роботи)  -  погашення заборгованості за минулі роки</t>
  </si>
  <si>
    <t>Реконструкція Палацу спорту "Юність" в м.Запоріжжя (проектні роботи)</t>
  </si>
  <si>
    <t>Реконструкція комунального закладу "Амбулаторія сімейного лікаря з вбудованою квартирою у селищі Тепличне в Шевченківському районі м. Запоріжжя" (проектні та будівельні роботи)</t>
  </si>
  <si>
    <t xml:space="preserve">Житлові будинки  по вул. Нижньодніпровській, 14, 16, 18, по бул. Гвардійському, 145а, 147а, 151, 153  - реконструкція системи холодного та гарячого водопостачання </t>
  </si>
  <si>
    <t xml:space="preserve">Житловий будинок  по вул.Республіканській, 88 - реконструкція </t>
  </si>
  <si>
    <t xml:space="preserve">Ліквідація аварійного стану житлового будинку по вул.Ракетній, 38а </t>
  </si>
  <si>
    <t xml:space="preserve">Житловий будинок по бул. Вінтера,50 - реконструкція  </t>
  </si>
  <si>
    <t xml:space="preserve">Житловий будинок по вул. Нагнибіди,15 – реконструкція системи тепло-, водопостачання </t>
  </si>
  <si>
    <t xml:space="preserve">Житловий будинок по вул. Ленській, 1б – реконструкція системи теплопостачання </t>
  </si>
  <si>
    <t>Реконструкція контейнерного майданчика по вул. Маяковського, 10</t>
  </si>
  <si>
    <t>Реконструкція контейнерного майданчика по вул. Перемоги, 59</t>
  </si>
  <si>
    <t>Реконструкція контейнерного майданчика по вул. Південноукраїнська, 19</t>
  </si>
  <si>
    <t>Реконструкція контейнерного майданчика по вул. Південноукраїнська, 13</t>
  </si>
  <si>
    <t>Реконструкція контейнерного майданчика по вул. Патріотична, 64б</t>
  </si>
  <si>
    <t xml:space="preserve">Реконструкція контейнерного майданчика по пр. Леніна,133 </t>
  </si>
  <si>
    <t xml:space="preserve">Реконструкція контейнерного майданчика по бул. Шевченко, 42 </t>
  </si>
  <si>
    <t xml:space="preserve">Реконструкція контейнерного майданчика по вул. Тбіліська, 9 </t>
  </si>
  <si>
    <t>Ліквідація аварійного стану автодороги, зливової та побутової каналізації по вул. М.Судця, м.Запоріжжя</t>
  </si>
  <si>
    <t xml:space="preserve">Ліквідація аварійного стану на дорожній насипі проїзної частини дороги по вул. Перемоги (в р-ні міської лікарні №6) (проектні роботи, будівництво) </t>
  </si>
  <si>
    <t xml:space="preserve">Будівництво водогону Д=315 мм по вул.Сапожнікова, м.Запоріжжя </t>
  </si>
  <si>
    <r>
      <t>Газифікація житлових будинків по вул. Воєнбуд м.Запоріжжя</t>
    </r>
  </si>
  <si>
    <t>Реконструкція  центральної алеї парку "Дубовий гай" в м.Запоріжжя -  погашення заборгованості за минулі роки</t>
  </si>
  <si>
    <t>20,000</t>
  </si>
  <si>
    <t xml:space="preserve">Реконструкція системи диспетчеризації ліфтового господарства в Комунарському районі м. Запоріжжя </t>
  </si>
  <si>
    <t xml:space="preserve">120201 </t>
  </si>
  <si>
    <t>Періодичні видання (газети та журнали)</t>
  </si>
  <si>
    <t>080500</t>
  </si>
  <si>
    <t>Загальні і спеціалізовані стоматологічні поліклініки</t>
  </si>
  <si>
    <t xml:space="preserve">Термомодернізація будівлі комунальної установи "Центральна поліклініка Жовтневого району" по пр. Леніна, 88 </t>
  </si>
  <si>
    <t>Попередження створенню аварійного стану прибудови комунального підприємства Палац культури "Орбіта" (проектні та будівельні роботи)</t>
  </si>
  <si>
    <t>Реконструкція водопроводу Д=400 мм по вул. Радгоспній від вул. Парамонова до вул. Польової</t>
  </si>
  <si>
    <t>Будівництво трамвайної колії від пр. Леніна до вул. Жовтневої в м. Запоріжжі (проектно-вишукувальні роботи, експертиза)</t>
  </si>
  <si>
    <t xml:space="preserve">Реконструкція  приміщень комунальної установи  "Міська клінічна лікарня №2", м. Запоріжжя (проектні та будівельні роботи) </t>
  </si>
  <si>
    <t>Комунальна установа "Центральна лікарня Орджонікідзевського району" по бул. Шевченко, 25 м. Запоріжжя - реконструкція  - погашення заборгованості за минулі роки</t>
  </si>
  <si>
    <t>МКП "Основаніє"</t>
  </si>
  <si>
    <t>КП "УКБ", МКП "Основаніє"</t>
  </si>
  <si>
    <t>КП "Титан"</t>
  </si>
  <si>
    <t>Районна адміністрація Запорізької міської ради по Шевченківському району</t>
  </si>
  <si>
    <t>070202</t>
  </si>
  <si>
    <t>Вечірні (змінні) школи</t>
  </si>
  <si>
    <t>130107</t>
  </si>
  <si>
    <t>Утримання та навчально-тренувальна робота дитячо-юнацьких спортивних шкіл</t>
  </si>
  <si>
    <t xml:space="preserve">Комунальна установа «Запорізька міська багатопрофільна дитяча лікарня №5»  (відділення недоношених новонароджених)  - реконструкція </t>
  </si>
  <si>
    <t>в тому числі за адресами:</t>
  </si>
  <si>
    <t>вул. Перемоги, 65</t>
  </si>
  <si>
    <t>вул. Гагаріна, 8</t>
  </si>
  <si>
    <t>вул. Н.Містечка, 19 гол. фасад.</t>
  </si>
  <si>
    <t>вул. Запорізька, 6</t>
  </si>
  <si>
    <t>вул. Бочарова, 8</t>
  </si>
  <si>
    <t>вул.Косигіна, 9</t>
  </si>
  <si>
    <t>вул.Авраменко, 7</t>
  </si>
  <si>
    <t>вул.Центральна, 5</t>
  </si>
  <si>
    <t>вул.Фільтрова, 25</t>
  </si>
  <si>
    <t>вул.Фундаментальна, 17</t>
  </si>
  <si>
    <t>вул.Магнітна, 2</t>
  </si>
  <si>
    <t>вул.Алмазна, 45</t>
  </si>
  <si>
    <t>вул.Історична, 73</t>
  </si>
  <si>
    <t>вул.Республіканська, 51</t>
  </si>
  <si>
    <t>вул.Гудименко,9</t>
  </si>
  <si>
    <t>пр.Ювілейний,23А</t>
  </si>
  <si>
    <t>вул.Рубана,24</t>
  </si>
  <si>
    <t>вул.Задніпровська,21</t>
  </si>
  <si>
    <t>вул.Задніпровська,27</t>
  </si>
  <si>
    <t>вул.Зестафонська,10-б</t>
  </si>
  <si>
    <t>вул.Дніпровські пороги,21</t>
  </si>
  <si>
    <t>вул.Зернова,30а</t>
  </si>
  <si>
    <t>вул.Кремлівська,81</t>
  </si>
  <si>
    <t xml:space="preserve">вул. Портова, буд. 2                                                                                                                                          </t>
  </si>
  <si>
    <t xml:space="preserve">вул.Чарівна,95   </t>
  </si>
  <si>
    <t>вул.Військбуд,84</t>
  </si>
  <si>
    <t>вул.Памірська,91</t>
  </si>
  <si>
    <t>вул. Кузнецова,34а</t>
  </si>
  <si>
    <t>вул. Бочарова, 16-б</t>
  </si>
  <si>
    <t>вул.Космічна,112 б</t>
  </si>
  <si>
    <t>вул.Новокузнецька,36а</t>
  </si>
  <si>
    <t>вул.Чумаченко,36а</t>
  </si>
  <si>
    <t>вул.Автозаводська,4</t>
  </si>
  <si>
    <t>вул.Чумаченко,13</t>
  </si>
  <si>
    <t>пр.40 річчя Перемоги,63</t>
  </si>
  <si>
    <t>вул.Олімпійська,10</t>
  </si>
  <si>
    <t>вул.Космічна,101</t>
  </si>
  <si>
    <t>вул.Антарктична,15а</t>
  </si>
  <si>
    <t>вул.Садова,101</t>
  </si>
  <si>
    <t>вул. 40 років Радянської    України, 49</t>
  </si>
  <si>
    <t>вул. Миру, 5</t>
  </si>
  <si>
    <t>бул. Центральний, 3</t>
  </si>
  <si>
    <t>вул. Лермонтова, 6</t>
  </si>
  <si>
    <t>вул. Перемоги, 119-б;</t>
  </si>
  <si>
    <t>вул. Магістральна,  72а</t>
  </si>
  <si>
    <t>вул. Магістральна, 92а</t>
  </si>
  <si>
    <t>вул. Чарівна, 127</t>
  </si>
  <si>
    <t>вул.Ніжинській,66</t>
  </si>
  <si>
    <t>вул. Історична, 29</t>
  </si>
  <si>
    <t>вул.Глазунова,6</t>
  </si>
  <si>
    <t>вул.Історичній,34</t>
  </si>
  <si>
    <t>вул.Ентузіастів,3</t>
  </si>
  <si>
    <t>вул. М.Чуйкова,32</t>
  </si>
  <si>
    <t>вул. Дудикіна,9а</t>
  </si>
  <si>
    <t>вул. Верхня, 10</t>
  </si>
  <si>
    <t xml:space="preserve">вул.Вороніхіна,8  </t>
  </si>
  <si>
    <t>вул.Чумаченко,37</t>
  </si>
  <si>
    <t>вул.Дослідна станція,84</t>
  </si>
  <si>
    <t>вул.Рязанська,11</t>
  </si>
  <si>
    <t>пр.40 річчя Перемоги,57</t>
  </si>
  <si>
    <t>вул.Космічна,130 б</t>
  </si>
  <si>
    <t xml:space="preserve">вул. Лермонтова, 14                                                                                                                                           </t>
  </si>
  <si>
    <t>Реконструкція мереж зовнішнього освітлення на внутрішньоквартальній території по вул. Малиновського ТП-153</t>
  </si>
  <si>
    <t>Реконструкція мереж зовнішнього освітлення на внутрішньоквартальній території по вул. Малиновського ТП-158</t>
  </si>
  <si>
    <t>Реконструкція мереж зовнішнього освітлення на внутрішньоквартальній території по вул. Малиновського ТП-118</t>
  </si>
  <si>
    <t>Реконструкція мереж зовнішнього освітлення по вул. Калініна</t>
  </si>
  <si>
    <t>Реконструкція мереж зовнішнього освітлення в сквері по вул. Космічній, 22 (біля Комунарського РВ ЗМУ)</t>
  </si>
  <si>
    <t>Реконструкція мереж зовнішнього освітлення по вул. Тополіна ТП-52</t>
  </si>
  <si>
    <t>Реконструкція мереж зовнішнього освітлення по вул. Крилова</t>
  </si>
  <si>
    <t>Реконструкція мереж зовнішнього освітлення по вул. Володарського</t>
  </si>
  <si>
    <t>Реконструкція мереж зовнішнього освітлення на внутрішньоквартальній території по вул. Героїв Сталінграду від ТП-311</t>
  </si>
  <si>
    <t>Реконструкція мереж зовнішнього освітлення на внутрішньоквартальній території по вул. Грязнова від ТП-312</t>
  </si>
  <si>
    <t>Реконструкція мереж зовнішнього освітлення на внутрішньоквартальній території по вул. Грязнова</t>
  </si>
  <si>
    <t>Реконструкція мереж зовнішнього освітлення скверу біля інституту «Запоріжцивільпроект» (сквер будинку побуту - пл. Пушкіна)</t>
  </si>
  <si>
    <t>Реконструкція мереж зовнішнього освітлення скверу кінотеатру "Южний" (сквер по вул. Калініна - вул. Культурна)</t>
  </si>
  <si>
    <t>Реконструкція мереж зовнішнього освітлення по вул. Сталеварів</t>
  </si>
  <si>
    <t xml:space="preserve">Реконструкція мереж зовнішнього освітлення о. Хортиця, вул. Наукового містечка </t>
  </si>
  <si>
    <t>Реконструкція мереж зовнішнього освітлення кварталу 65 (вул. Сталеварів – вул. Рекордна – вул. Лермонтова – вул. Сорок років Радянської України)</t>
  </si>
  <si>
    <t xml:space="preserve">Реконструкція мереж зовнішнього освітлення по вул. Гагаріна </t>
  </si>
  <si>
    <t>Реконструкція мереж зовнішнього освітлення на внутрішньоквартальній території по пр. Радянський (5 мікрорайон) ТП-612</t>
  </si>
  <si>
    <t>Реконструкція мереж зовнішнього освітлення на внутрішньоквартальній території по пр. Радянський (5 мікрорайон) ТП-611</t>
  </si>
  <si>
    <t>Реконструкція мереж зовнішнього освітлення на внутрішньоквартальній території по вул. Задніпровська - вул. Гудименка</t>
  </si>
  <si>
    <t>Реконструкція мереж зовнішнього освітлення по вул. Задніпровська (від вул. Новгородської до вул. Гудименка)</t>
  </si>
  <si>
    <t xml:space="preserve">Реконструкція мереж зовнішнього освітлення по вул. Ентузіастів </t>
  </si>
  <si>
    <t>Реконструкція мереж зовнішнього освітлення на внутрішньоквартальній території по вул. Бородинська 2 етап ТП-885</t>
  </si>
  <si>
    <t xml:space="preserve">Реконструкція мереж зовнішнього освітлення по вул. Третьої п’ятирічки </t>
  </si>
  <si>
    <t>Реконструкція мереж зовнішнього освітлення по вул. Шишкіна</t>
  </si>
  <si>
    <t>Реконструкція мереж зовнішнього освітлення по вул. Логінова</t>
  </si>
  <si>
    <t>Реконструкція мереж зовнішнього освітлення по вул. Медвєдєва</t>
  </si>
  <si>
    <t>Реконструкція мереж зовнішнього освітлення по вул. Метрополітенівській</t>
  </si>
  <si>
    <t>Реконструкція мереж зовнішнього освітлення по вул. Яворницького</t>
  </si>
  <si>
    <t>Реконструкція мереж зовнішнього освітлення по вул. Трегубова</t>
  </si>
  <si>
    <t>Реконструкція мереж зовнішнього освітлення по вул. Ризька</t>
  </si>
  <si>
    <t>Реконструкція мереж зовнішнього освітлення по вул. Станіславського</t>
  </si>
  <si>
    <t>Реконструкція мереж зовнішнього освітлення по вул. Істоміна</t>
  </si>
  <si>
    <t>Реконструкція мереж зовнішнього освітлення по вул. Силова</t>
  </si>
  <si>
    <t xml:space="preserve">Реконструкція мереж зовнішнього освітлення по вул. Дніпропетровське шосе </t>
  </si>
  <si>
    <t xml:space="preserve">Реконструкція мереж зовнішнього освітлення по вул. Славутича </t>
  </si>
  <si>
    <t xml:space="preserve">Реконструкція мереж зовнішнього освітлення по вул. Санаторна </t>
  </si>
  <si>
    <t>Реконструкція мереж зовнішнього освітлення по пров. Арбатський</t>
  </si>
  <si>
    <t>Реконструкція мереж зовнішнього освітлення по вул. Оборонна</t>
  </si>
  <si>
    <t xml:space="preserve">Реконструкція мереж зовнішнього освітлення по вул. Павлика Морозова </t>
  </si>
  <si>
    <t>Реконструкція мереж зовнішнього освітлення по вул. Вольська</t>
  </si>
  <si>
    <t>Реконструкція мереж зовнішнього освітлення по вул. Полєтаєва</t>
  </si>
  <si>
    <t>Реконструкція мереж зовнішнього освітлення по вул. Памірська</t>
  </si>
  <si>
    <t>пр.Леніна, 143</t>
  </si>
  <si>
    <t>Реконструкція мереж зовнішнього освітлення вул. Перемоги, 80 (КУ "Міська клінічна лікарня екстреної та швидкої медичної допомоги")</t>
  </si>
  <si>
    <t>Реконструкція мереж зовнішнього освітлення по вул. Пілотів - погашення заборгованості за минулі роки</t>
  </si>
  <si>
    <t>Реконструкція мереж зовнішнього освітлення на внутрішньоквартальній території вул. Бородинська - погашення заборгованості за минулі роки</t>
  </si>
  <si>
    <t>Будівництво мереж зовнішнього освітлення по вул. Вогнетривка, 1-11 (проектні роботи та експертиза)</t>
  </si>
  <si>
    <t>Будівництво мереж зовнішнього освітлення по вул.Прияружна, 4а-12 (проектні роботи та експертиза)</t>
  </si>
  <si>
    <t xml:space="preserve">Реконструкція будівель та інженерних мереж комунальної установи "Міська клінічна лікарня екстреної та швидкої медичної допомоги м.Запоріжжя" по вул.Перемоги, 80  м. Запоріжжя (проектні роботи та експертиза) </t>
  </si>
  <si>
    <t>Реконструкція мереж зовнішнього освітлення по вул. Новгородська (гуртожиток по вул. Новгородська)</t>
  </si>
  <si>
    <t>Реконструкція мереж зовнішнього освітлення по вул. Новгородська (від вул. Жукова до шляхопроводу)</t>
  </si>
  <si>
    <t>Реконструкція частини центральної пішохідної алеї по пр. Ювілейному в м. Запоріжжі  (проектні роботи, експертиза)</t>
  </si>
  <si>
    <t>Реконструкція скверу ім. 60-річчя СРСР та прилеглої території в м. Запоріжжі (ескізний проект) -  погашення заборгованості за минулі роки</t>
  </si>
  <si>
    <t>Будівництво спортивного майданчику у парку  «Перемоги» (проектні та будівельні роботи)</t>
  </si>
  <si>
    <t xml:space="preserve">Благоустрій міста </t>
  </si>
  <si>
    <t>Реконструкція скверу біля пам"ятника Ф.Е. Дзержинського, в м. Запоріжжі</t>
  </si>
  <si>
    <t>Благоустрій міста</t>
  </si>
  <si>
    <t xml:space="preserve">Органи місцевого самоврядування </t>
  </si>
</sst>
</file>

<file path=xl/styles.xml><?xml version="1.0" encoding="utf-8"?>
<styleSheet xmlns="http://schemas.openxmlformats.org/spreadsheetml/2006/main">
  <numFmts count="4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
    <numFmt numFmtId="183" formatCode="#&quot; &quot;##0.000"/>
    <numFmt numFmtId="184" formatCode="0.00000"/>
    <numFmt numFmtId="185" formatCode="0.000000000"/>
    <numFmt numFmtId="186" formatCode="0.0000000000"/>
    <numFmt numFmtId="187" formatCode="0.00000000000"/>
    <numFmt numFmtId="188" formatCode="0.00000000"/>
    <numFmt numFmtId="189" formatCode="0.0000000"/>
    <numFmt numFmtId="190" formatCode="0.000000"/>
    <numFmt numFmtId="191" formatCode="0.0000"/>
    <numFmt numFmtId="192" formatCode="#,##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0.0000"/>
    <numFmt numFmtId="198" formatCode="#,##0.00000"/>
    <numFmt numFmtId="199" formatCode="[$-422]d\ mmmm\ yyyy&quot; р.&quot;"/>
  </numFmts>
  <fonts count="32">
    <font>
      <sz val="11"/>
      <color indexed="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
      <name val="Times New Roman"/>
      <family val="1"/>
    </font>
    <font>
      <sz val="18"/>
      <name val="Times New Roman"/>
      <family val="1"/>
    </font>
    <font>
      <sz val="14"/>
      <name val="Times New Roman"/>
      <family val="1"/>
    </font>
    <font>
      <sz val="16"/>
      <name val="Times New Roman"/>
      <family val="1"/>
    </font>
    <font>
      <sz val="12"/>
      <name val="Times New Roman"/>
      <family val="1"/>
    </font>
    <font>
      <sz val="11"/>
      <name val="Times New Roman"/>
      <family val="1"/>
    </font>
    <font>
      <sz val="14"/>
      <color indexed="8"/>
      <name val="Times New Roman"/>
      <family val="1"/>
    </font>
    <font>
      <sz val="10"/>
      <name val="Times New Roman"/>
      <family val="1"/>
    </font>
    <font>
      <sz val="18"/>
      <color indexed="8"/>
      <name val="Times New Roman"/>
      <family val="1"/>
    </font>
    <font>
      <sz val="8"/>
      <name val="Calibri"/>
      <family val="2"/>
    </font>
    <font>
      <sz val="12"/>
      <color indexed="8"/>
      <name val="Times New Roman"/>
      <family val="1"/>
    </font>
    <font>
      <u val="single"/>
      <sz val="11"/>
      <color indexed="12"/>
      <name val="Calibri"/>
      <family val="2"/>
    </font>
    <font>
      <u val="single"/>
      <sz val="11"/>
      <color indexed="20"/>
      <name val="Calibri"/>
      <family val="2"/>
    </font>
    <font>
      <b/>
      <u val="single"/>
      <sz val="16"/>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color indexed="63"/>
      </top>
      <bottom style="thin"/>
    </border>
    <border>
      <left style="thin"/>
      <right style="thin"/>
      <top style="thin"/>
      <bottom>
        <color indexed="63"/>
      </bottom>
    </border>
    <border>
      <left style="medium"/>
      <right style="thin"/>
      <top style="thin"/>
      <bottom>
        <color indexed="63"/>
      </bottom>
    </border>
    <border>
      <left style="thin"/>
      <right style="thin"/>
      <top style="medium"/>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thin"/>
      <bottom style="medium"/>
    </border>
    <border>
      <left style="medium"/>
      <right style="thin"/>
      <top style="thin"/>
      <bottom style="medium"/>
    </border>
    <border>
      <left style="thin"/>
      <right style="thin"/>
      <top>
        <color indexed="63"/>
      </top>
      <bottom>
        <color indexed="63"/>
      </bottom>
    </border>
    <border>
      <left style="medium"/>
      <right style="thin"/>
      <top>
        <color indexed="63"/>
      </top>
      <bottom>
        <color indexed="63"/>
      </bottom>
    </border>
    <border>
      <left style="thin"/>
      <right style="medium"/>
      <top style="medium"/>
      <bottom style="thin"/>
    </border>
  </borders>
  <cellStyleXfs count="7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2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30"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cellStyleXfs>
  <cellXfs count="149">
    <xf numFmtId="0" fontId="0" fillId="0" borderId="0" xfId="0" applyAlignment="1">
      <alignment/>
    </xf>
    <xf numFmtId="0" fontId="20" fillId="24" borderId="10" xfId="0" applyFont="1" applyFill="1" applyBorder="1" applyAlignment="1">
      <alignment horizontal="left" vertical="center" wrapText="1"/>
    </xf>
    <xf numFmtId="49" fontId="20" fillId="24" borderId="11" xfId="0" applyNumberFormat="1" applyFont="1" applyFill="1" applyBorder="1" applyAlignment="1">
      <alignment horizontal="center" vertical="center" wrapText="1"/>
    </xf>
    <xf numFmtId="192" fontId="20" fillId="24" borderId="12" xfId="0" applyNumberFormat="1" applyFont="1" applyFill="1" applyBorder="1" applyAlignment="1">
      <alignment horizontal="center" vertical="center" wrapText="1"/>
    </xf>
    <xf numFmtId="0" fontId="20" fillId="24" borderId="10" xfId="620" applyFont="1" applyFill="1" applyBorder="1" applyAlignment="1">
      <alignment horizontal="left" vertical="center" wrapText="1"/>
      <protection/>
    </xf>
    <xf numFmtId="192" fontId="24" fillId="24" borderId="12" xfId="0" applyNumberFormat="1" applyFont="1" applyFill="1" applyBorder="1" applyAlignment="1">
      <alignment horizontal="center" vertical="center" wrapText="1"/>
    </xf>
    <xf numFmtId="49" fontId="24" fillId="24" borderId="11" xfId="0" applyNumberFormat="1" applyFont="1" applyFill="1" applyBorder="1" applyAlignment="1">
      <alignment horizontal="center" vertical="center"/>
    </xf>
    <xf numFmtId="0" fontId="24" fillId="24" borderId="10" xfId="0" applyFont="1" applyFill="1" applyBorder="1" applyAlignment="1">
      <alignment vertical="center" wrapText="1"/>
    </xf>
    <xf numFmtId="0" fontId="24" fillId="24" borderId="13" xfId="0" applyFont="1" applyFill="1" applyBorder="1" applyAlignment="1">
      <alignment vertical="center" wrapText="1"/>
    </xf>
    <xf numFmtId="0" fontId="28" fillId="24" borderId="10" xfId="0" applyFont="1" applyFill="1" applyBorder="1" applyAlignment="1">
      <alignment horizontal="left" vertical="top" wrapText="1"/>
    </xf>
    <xf numFmtId="0" fontId="22" fillId="24" borderId="10" xfId="0" applyFont="1" applyFill="1" applyBorder="1" applyAlignment="1">
      <alignment horizontal="left" vertical="top" wrapText="1"/>
    </xf>
    <xf numFmtId="0" fontId="20" fillId="24" borderId="10" xfId="0" applyFont="1" applyFill="1" applyBorder="1" applyAlignment="1">
      <alignment horizontal="left" vertical="top" wrapText="1"/>
    </xf>
    <xf numFmtId="192" fontId="20" fillId="24" borderId="10" xfId="0" applyNumberFormat="1" applyFont="1" applyFill="1" applyBorder="1" applyAlignment="1">
      <alignment horizontal="center" vertical="center" wrapText="1"/>
    </xf>
    <xf numFmtId="0" fontId="24" fillId="24" borderId="10" xfId="0" applyFont="1" applyFill="1" applyBorder="1" applyAlignment="1">
      <alignment horizontal="center" vertical="center" wrapText="1"/>
    </xf>
    <xf numFmtId="49" fontId="24" fillId="24" borderId="11" xfId="0" applyNumberFormat="1" applyFont="1" applyFill="1" applyBorder="1" applyAlignment="1">
      <alignment horizontal="center" vertical="center" wrapText="1"/>
    </xf>
    <xf numFmtId="0" fontId="24" fillId="24" borderId="10" xfId="0" applyFont="1" applyFill="1" applyBorder="1" applyAlignment="1">
      <alignment horizontal="left" vertical="center" wrapText="1"/>
    </xf>
    <xf numFmtId="0" fontId="20" fillId="24" borderId="14" xfId="0" applyFont="1" applyFill="1" applyBorder="1" applyAlignment="1">
      <alignment horizontal="center" vertical="center" wrapText="1"/>
    </xf>
    <xf numFmtId="0" fontId="20" fillId="24" borderId="13" xfId="0" applyFont="1" applyFill="1" applyBorder="1" applyAlignment="1">
      <alignment horizontal="center" vertical="center" wrapText="1"/>
    </xf>
    <xf numFmtId="49" fontId="20" fillId="24" borderId="15" xfId="0" applyNumberFormat="1" applyFont="1" applyFill="1" applyBorder="1" applyAlignment="1">
      <alignment horizontal="center" vertical="center" wrapText="1"/>
    </xf>
    <xf numFmtId="49" fontId="20" fillId="24" borderId="11" xfId="0" applyNumberFormat="1" applyFont="1" applyFill="1" applyBorder="1" applyAlignment="1">
      <alignment horizontal="center" vertical="center"/>
    </xf>
    <xf numFmtId="192" fontId="20" fillId="24" borderId="0" xfId="0" applyNumberFormat="1" applyFont="1" applyFill="1" applyBorder="1" applyAlignment="1">
      <alignment horizontal="center" vertical="center" wrapText="1"/>
    </xf>
    <xf numFmtId="0" fontId="20" fillId="24" borderId="0" xfId="0" applyFont="1" applyFill="1" applyBorder="1" applyAlignment="1">
      <alignment horizontal="center" vertical="center" wrapText="1"/>
    </xf>
    <xf numFmtId="0" fontId="20" fillId="24" borderId="0" xfId="0" applyFont="1" applyFill="1" applyBorder="1" applyAlignment="1">
      <alignment horizontal="center" vertical="center" textRotation="90"/>
    </xf>
    <xf numFmtId="0" fontId="20" fillId="24" borderId="0" xfId="0" applyFont="1" applyFill="1" applyBorder="1" applyAlignment="1">
      <alignment horizontal="center" vertical="center"/>
    </xf>
    <xf numFmtId="0" fontId="20" fillId="24" borderId="0" xfId="0" applyFont="1" applyFill="1" applyBorder="1" applyAlignment="1">
      <alignment horizontal="center" wrapText="1"/>
    </xf>
    <xf numFmtId="0" fontId="20" fillId="24" borderId="16" xfId="0" applyFont="1" applyFill="1" applyBorder="1" applyAlignment="1">
      <alignment horizontal="center" vertical="center" wrapText="1"/>
    </xf>
    <xf numFmtId="192" fontId="20" fillId="24" borderId="13" xfId="0" applyNumberFormat="1" applyFont="1" applyFill="1" applyBorder="1" applyAlignment="1">
      <alignment horizontal="center" vertical="center" wrapText="1"/>
    </xf>
    <xf numFmtId="3" fontId="20" fillId="24" borderId="10" xfId="0" applyNumberFormat="1" applyFont="1" applyFill="1" applyBorder="1" applyAlignment="1">
      <alignment horizontal="center" vertical="center" wrapText="1"/>
    </xf>
    <xf numFmtId="192" fontId="20" fillId="24" borderId="10" xfId="625" applyNumberFormat="1" applyFont="1" applyFill="1" applyBorder="1" applyAlignment="1">
      <alignment horizontal="center" vertical="center" wrapText="1"/>
      <protection/>
    </xf>
    <xf numFmtId="0" fontId="20" fillId="24" borderId="10" xfId="0" applyFont="1" applyFill="1" applyBorder="1" applyAlignment="1">
      <alignment horizontal="center" vertical="center" wrapText="1"/>
    </xf>
    <xf numFmtId="3" fontId="20" fillId="24" borderId="10" xfId="0" applyNumberFormat="1" applyFont="1" applyFill="1" applyBorder="1" applyAlignment="1">
      <alignment horizontal="right" wrapText="1"/>
    </xf>
    <xf numFmtId="181" fontId="20" fillId="24" borderId="10" xfId="0" applyNumberFormat="1" applyFont="1" applyFill="1" applyBorder="1" applyAlignment="1">
      <alignment horizontal="center" vertical="center" wrapText="1"/>
    </xf>
    <xf numFmtId="192" fontId="20" fillId="24" borderId="17" xfId="0" applyNumberFormat="1" applyFont="1" applyFill="1" applyBorder="1" applyAlignment="1">
      <alignment horizontal="center" vertical="center" wrapText="1"/>
    </xf>
    <xf numFmtId="0" fontId="21" fillId="24" borderId="0" xfId="0" applyFont="1" applyFill="1" applyBorder="1" applyAlignment="1">
      <alignment horizontal="center" vertical="center" wrapText="1"/>
    </xf>
    <xf numFmtId="0" fontId="21" fillId="24" borderId="0" xfId="0" applyFont="1" applyFill="1" applyBorder="1" applyAlignment="1">
      <alignment horizontal="left" vertical="center" wrapText="1"/>
    </xf>
    <xf numFmtId="180" fontId="21" fillId="24" borderId="0" xfId="0" applyNumberFormat="1" applyFont="1" applyFill="1" applyBorder="1" applyAlignment="1">
      <alignment horizontal="center" vertical="center" wrapText="1"/>
    </xf>
    <xf numFmtId="0" fontId="21" fillId="24" borderId="0" xfId="0" applyFont="1" applyFill="1" applyAlignment="1">
      <alignment horizontal="center" wrapText="1"/>
    </xf>
    <xf numFmtId="0" fontId="21" fillId="24" borderId="0" xfId="0" applyFont="1" applyFill="1" applyAlignment="1">
      <alignment horizontal="left" wrapText="1"/>
    </xf>
    <xf numFmtId="0" fontId="21" fillId="24" borderId="0" xfId="0" applyFont="1" applyFill="1" applyAlignment="1">
      <alignment wrapText="1"/>
    </xf>
    <xf numFmtId="0" fontId="21" fillId="24" borderId="0" xfId="0" applyFont="1" applyFill="1" applyAlignment="1">
      <alignment horizontal="center" vertical="center" wrapText="1"/>
    </xf>
    <xf numFmtId="0" fontId="21" fillId="24" borderId="0" xfId="0" applyFont="1" applyFill="1" applyAlignment="1">
      <alignment vertical="center" wrapText="1"/>
    </xf>
    <xf numFmtId="49" fontId="21" fillId="24" borderId="0" xfId="0" applyNumberFormat="1" applyFont="1" applyFill="1" applyBorder="1" applyAlignment="1">
      <alignment horizontal="center" vertical="center" wrapText="1"/>
    </xf>
    <xf numFmtId="49" fontId="21" fillId="24" borderId="0" xfId="0" applyNumberFormat="1" applyFont="1" applyFill="1" applyBorder="1" applyAlignment="1">
      <alignment horizontal="left" vertical="center" wrapText="1"/>
    </xf>
    <xf numFmtId="49" fontId="21" fillId="24" borderId="0" xfId="0" applyNumberFormat="1" applyFont="1" applyFill="1" applyBorder="1" applyAlignment="1">
      <alignment vertical="center" wrapText="1"/>
    </xf>
    <xf numFmtId="180" fontId="20" fillId="24" borderId="0" xfId="0" applyNumberFormat="1" applyFont="1" applyFill="1" applyBorder="1" applyAlignment="1">
      <alignment horizontal="center" vertical="center" wrapText="1"/>
    </xf>
    <xf numFmtId="0" fontId="25" fillId="24" borderId="18" xfId="0" applyFont="1" applyFill="1" applyBorder="1" applyAlignment="1">
      <alignment horizontal="center" vertical="center" wrapText="1"/>
    </xf>
    <xf numFmtId="0" fontId="20" fillId="24" borderId="19" xfId="0" applyFont="1" applyFill="1" applyBorder="1" applyAlignment="1">
      <alignment horizontal="center" vertical="center" wrapText="1"/>
    </xf>
    <xf numFmtId="0" fontId="25" fillId="24" borderId="15" xfId="0" applyFont="1" applyFill="1" applyBorder="1" applyAlignment="1">
      <alignment horizontal="center" vertical="center" wrapText="1"/>
    </xf>
    <xf numFmtId="0" fontId="20" fillId="24" borderId="20" xfId="0" applyFont="1" applyFill="1" applyBorder="1" applyAlignment="1">
      <alignment horizontal="center" vertical="center" wrapText="1"/>
    </xf>
    <xf numFmtId="1" fontId="20" fillId="24" borderId="16" xfId="0" applyNumberFormat="1" applyFont="1" applyFill="1" applyBorder="1" applyAlignment="1">
      <alignment horizontal="center" vertical="center" wrapText="1"/>
    </xf>
    <xf numFmtId="0" fontId="20" fillId="24" borderId="21" xfId="0" applyFont="1" applyFill="1" applyBorder="1" applyAlignment="1">
      <alignment horizontal="center" vertical="center" wrapText="1"/>
    </xf>
    <xf numFmtId="0" fontId="20" fillId="24" borderId="22" xfId="0" applyFont="1" applyFill="1" applyBorder="1" applyAlignment="1">
      <alignment horizontal="center" vertical="center" wrapText="1"/>
    </xf>
    <xf numFmtId="0" fontId="20" fillId="24" borderId="13" xfId="0" applyFont="1" applyFill="1" applyBorder="1" applyAlignment="1">
      <alignment horizontal="left" vertical="center" wrapText="1"/>
    </xf>
    <xf numFmtId="192" fontId="20" fillId="24" borderId="23" xfId="0" applyNumberFormat="1" applyFont="1" applyFill="1" applyBorder="1" applyAlignment="1">
      <alignment horizontal="center" vertical="center" wrapText="1"/>
    </xf>
    <xf numFmtId="0" fontId="20" fillId="24" borderId="11" xfId="0" applyFont="1" applyFill="1" applyBorder="1" applyAlignment="1">
      <alignment horizontal="center" vertical="center" wrapText="1"/>
    </xf>
    <xf numFmtId="182" fontId="20" fillId="24" borderId="10" xfId="679" applyNumberFormat="1" applyFont="1" applyFill="1" applyBorder="1" applyAlignment="1">
      <alignment horizontal="center" vertical="center" wrapText="1"/>
    </xf>
    <xf numFmtId="0" fontId="20" fillId="24" borderId="12" xfId="0" applyFont="1" applyFill="1" applyBorder="1" applyAlignment="1">
      <alignment horizontal="center" vertical="center" wrapText="1"/>
    </xf>
    <xf numFmtId="0" fontId="20" fillId="24" borderId="11" xfId="0" applyFont="1" applyFill="1" applyBorder="1" applyAlignment="1">
      <alignment horizontal="center" vertical="center"/>
    </xf>
    <xf numFmtId="0" fontId="25" fillId="24" borderId="10" xfId="0" applyFont="1" applyFill="1" applyBorder="1" applyAlignment="1">
      <alignment horizontal="left" vertical="top" wrapText="1"/>
    </xf>
    <xf numFmtId="182" fontId="20" fillId="24" borderId="10" xfId="697" applyNumberFormat="1" applyFont="1" applyFill="1" applyBorder="1" applyAlignment="1">
      <alignment horizontal="center" vertical="center" wrapText="1"/>
    </xf>
    <xf numFmtId="0" fontId="20" fillId="24" borderId="0" xfId="0" applyFont="1" applyFill="1" applyBorder="1" applyAlignment="1">
      <alignment horizontal="right" vertical="center" wrapText="1"/>
    </xf>
    <xf numFmtId="49" fontId="20" fillId="24" borderId="10" xfId="620" applyNumberFormat="1" applyFont="1" applyFill="1" applyBorder="1" applyAlignment="1">
      <alignment horizontal="left" vertical="center" wrapText="1"/>
      <protection/>
    </xf>
    <xf numFmtId="49" fontId="20" fillId="24" borderId="10" xfId="0" applyNumberFormat="1" applyFont="1" applyFill="1" applyBorder="1" applyAlignment="1">
      <alignment horizontal="left" vertical="center" wrapText="1"/>
    </xf>
    <xf numFmtId="0" fontId="20" fillId="24" borderId="10" xfId="0" applyNumberFormat="1" applyFont="1" applyFill="1" applyBorder="1" applyAlignment="1">
      <alignment horizontal="left" vertical="center" wrapText="1"/>
    </xf>
    <xf numFmtId="192" fontId="20" fillId="24" borderId="10" xfId="620" applyNumberFormat="1" applyFont="1" applyFill="1" applyBorder="1" applyAlignment="1">
      <alignment horizontal="center" vertical="center" wrapText="1"/>
      <protection/>
    </xf>
    <xf numFmtId="0" fontId="20" fillId="24" borderId="10" xfId="0" applyFont="1" applyFill="1" applyBorder="1" applyAlignment="1">
      <alignment vertical="center" wrapText="1"/>
    </xf>
    <xf numFmtId="0" fontId="24" fillId="24" borderId="10" xfId="0" applyFont="1" applyFill="1" applyBorder="1" applyAlignment="1">
      <alignment horizontal="left" wrapText="1"/>
    </xf>
    <xf numFmtId="0" fontId="20" fillId="24" borderId="14" xfId="0" applyFont="1" applyFill="1" applyBorder="1" applyAlignment="1">
      <alignment horizontal="left" vertical="center" wrapText="1"/>
    </xf>
    <xf numFmtId="0" fontId="20" fillId="24" borderId="24" xfId="0" applyFont="1" applyFill="1" applyBorder="1" applyAlignment="1">
      <alignment horizontal="center" vertical="center" wrapText="1"/>
    </xf>
    <xf numFmtId="0" fontId="20" fillId="24" borderId="10" xfId="0" applyFont="1" applyFill="1" applyBorder="1" applyAlignment="1">
      <alignment horizontal="left" wrapText="1"/>
    </xf>
    <xf numFmtId="182" fontId="20" fillId="24" borderId="10" xfId="0" applyNumberFormat="1" applyFont="1" applyFill="1" applyBorder="1" applyAlignment="1">
      <alignment horizontal="center" vertical="center" wrapText="1"/>
    </xf>
    <xf numFmtId="1" fontId="20" fillId="24" borderId="0" xfId="0" applyNumberFormat="1" applyFont="1" applyFill="1" applyAlignment="1">
      <alignment horizontal="center" vertical="center" wrapText="1"/>
    </xf>
    <xf numFmtId="0" fontId="20" fillId="24" borderId="0" xfId="0" applyFont="1" applyFill="1" applyAlignment="1">
      <alignment horizontal="center" vertical="center" wrapText="1"/>
    </xf>
    <xf numFmtId="0" fontId="20" fillId="24" borderId="14" xfId="0" applyFont="1" applyFill="1" applyBorder="1" applyAlignment="1">
      <alignment vertical="center" wrapText="1"/>
    </xf>
    <xf numFmtId="0" fontId="20" fillId="24" borderId="10" xfId="625" applyFont="1" applyFill="1" applyBorder="1" applyAlignment="1">
      <alignment horizontal="left" vertical="center" wrapText="1"/>
      <protection/>
    </xf>
    <xf numFmtId="0" fontId="20" fillId="24" borderId="10" xfId="0" applyFont="1" applyFill="1" applyBorder="1" applyAlignment="1">
      <alignment horizontal="justify" vertical="center" wrapText="1"/>
    </xf>
    <xf numFmtId="0" fontId="20" fillId="24" borderId="0" xfId="0" applyFont="1" applyFill="1" applyBorder="1" applyAlignment="1">
      <alignment vertical="center" wrapText="1"/>
    </xf>
    <xf numFmtId="182" fontId="20" fillId="24" borderId="10" xfId="0" applyNumberFormat="1" applyFont="1" applyFill="1" applyBorder="1" applyAlignment="1">
      <alignment horizontal="right" wrapText="1"/>
    </xf>
    <xf numFmtId="0" fontId="20" fillId="24" borderId="12" xfId="0" applyFont="1" applyFill="1" applyBorder="1" applyAlignment="1">
      <alignment wrapText="1"/>
    </xf>
    <xf numFmtId="1" fontId="20" fillId="24" borderId="0" xfId="0" applyNumberFormat="1" applyFont="1" applyFill="1" applyAlignment="1">
      <alignment wrapText="1"/>
    </xf>
    <xf numFmtId="0" fontId="20" fillId="24" borderId="0" xfId="0" applyFont="1" applyFill="1" applyAlignment="1">
      <alignment wrapText="1"/>
    </xf>
    <xf numFmtId="0" fontId="22" fillId="24" borderId="12" xfId="0" applyFont="1" applyFill="1" applyBorder="1" applyAlignment="1">
      <alignment horizontal="center" vertical="center" wrapText="1"/>
    </xf>
    <xf numFmtId="192" fontId="20" fillId="24" borderId="10" xfId="0" applyNumberFormat="1" applyFont="1" applyFill="1" applyBorder="1" applyAlignment="1">
      <alignment horizontal="center" vertical="center"/>
    </xf>
    <xf numFmtId="180" fontId="20" fillId="24" borderId="10" xfId="0" applyNumberFormat="1" applyFont="1" applyFill="1" applyBorder="1" applyAlignment="1">
      <alignment horizontal="center" vertical="center" wrapText="1"/>
    </xf>
    <xf numFmtId="0" fontId="20" fillId="24" borderId="17" xfId="0" applyFont="1" applyFill="1" applyBorder="1" applyAlignment="1">
      <alignment horizontal="left" vertical="center" wrapText="1"/>
    </xf>
    <xf numFmtId="182" fontId="20" fillId="24" borderId="17" xfId="679" applyNumberFormat="1" applyFont="1" applyFill="1" applyBorder="1" applyAlignment="1">
      <alignment horizontal="center" vertical="center" wrapText="1"/>
    </xf>
    <xf numFmtId="0" fontId="20" fillId="24" borderId="0" xfId="0" applyFont="1" applyFill="1" applyBorder="1" applyAlignment="1">
      <alignment horizontal="left" vertical="center" wrapText="1"/>
    </xf>
    <xf numFmtId="49" fontId="20" fillId="24" borderId="0" xfId="0" applyNumberFormat="1" applyFont="1" applyFill="1" applyBorder="1" applyAlignment="1">
      <alignment horizontal="center" vertical="center" wrapText="1"/>
    </xf>
    <xf numFmtId="49" fontId="20" fillId="24" borderId="0" xfId="0" applyNumberFormat="1" applyFont="1" applyFill="1" applyBorder="1" applyAlignment="1">
      <alignment vertical="center" wrapText="1"/>
    </xf>
    <xf numFmtId="2" fontId="20" fillId="24" borderId="0" xfId="0" applyNumberFormat="1" applyFont="1" applyFill="1" applyBorder="1" applyAlignment="1">
      <alignment horizontal="center" vertical="center" wrapText="1"/>
    </xf>
    <xf numFmtId="0" fontId="23" fillId="24" borderId="18" xfId="0" applyFont="1" applyFill="1" applyBorder="1" applyAlignment="1">
      <alignment horizontal="center" vertical="center" wrapText="1"/>
    </xf>
    <xf numFmtId="0" fontId="23" fillId="24" borderId="15" xfId="0" applyFont="1" applyFill="1" applyBorder="1" applyAlignment="1">
      <alignment horizontal="center" vertical="center" wrapText="1"/>
    </xf>
    <xf numFmtId="3" fontId="24" fillId="24" borderId="0" xfId="0" applyNumberFormat="1" applyFont="1" applyFill="1" applyBorder="1" applyAlignment="1">
      <alignment vertical="center" wrapText="1"/>
    </xf>
    <xf numFmtId="0" fontId="24" fillId="24" borderId="0" xfId="0" applyFont="1" applyFill="1" applyBorder="1" applyAlignment="1">
      <alignment vertical="center" wrapText="1"/>
    </xf>
    <xf numFmtId="0" fontId="20" fillId="24" borderId="0" xfId="0" applyFont="1" applyFill="1" applyBorder="1" applyAlignment="1">
      <alignment horizontal="center" vertical="center" textRotation="90" wrapText="1"/>
    </xf>
    <xf numFmtId="0" fontId="24" fillId="24" borderId="0" xfId="0" applyFont="1" applyFill="1" applyAlignment="1">
      <alignment vertical="center" wrapText="1"/>
    </xf>
    <xf numFmtId="0" fontId="24" fillId="24" borderId="11" xfId="0" applyFont="1" applyFill="1" applyBorder="1" applyAlignment="1">
      <alignment horizontal="center" vertical="center" wrapText="1"/>
    </xf>
    <xf numFmtId="0" fontId="20" fillId="24" borderId="0" xfId="0" applyNumberFormat="1" applyFont="1" applyFill="1" applyBorder="1" applyAlignment="1">
      <alignment horizontal="left" vertical="center" wrapText="1"/>
    </xf>
    <xf numFmtId="49" fontId="20" fillId="24" borderId="12" xfId="0" applyNumberFormat="1" applyFont="1" applyFill="1" applyBorder="1" applyAlignment="1">
      <alignment horizontal="center" vertical="center" wrapText="1"/>
    </xf>
    <xf numFmtId="181" fontId="24" fillId="24" borderId="12" xfId="0" applyNumberFormat="1" applyFont="1" applyFill="1" applyBorder="1" applyAlignment="1">
      <alignment horizontal="center" vertical="center" wrapText="1"/>
    </xf>
    <xf numFmtId="0" fontId="24" fillId="24" borderId="0" xfId="0" applyFont="1" applyFill="1" applyBorder="1" applyAlignment="1">
      <alignment horizontal="center" vertical="center" wrapText="1"/>
    </xf>
    <xf numFmtId="0" fontId="20" fillId="24" borderId="17" xfId="620" applyFont="1" applyFill="1" applyBorder="1" applyAlignment="1">
      <alignment horizontal="left" vertical="center" wrapText="1"/>
      <protection/>
    </xf>
    <xf numFmtId="192" fontId="24" fillId="24" borderId="25" xfId="0" applyNumberFormat="1" applyFont="1" applyFill="1" applyBorder="1" applyAlignment="1">
      <alignment horizontal="center" vertical="center" wrapText="1"/>
    </xf>
    <xf numFmtId="0" fontId="24" fillId="24" borderId="0" xfId="0" applyFont="1" applyFill="1" applyAlignment="1">
      <alignment horizontal="center" vertical="center" wrapText="1"/>
    </xf>
    <xf numFmtId="0" fontId="26" fillId="24" borderId="0" xfId="0" applyFont="1" applyFill="1" applyBorder="1" applyAlignment="1">
      <alignment vertical="center" wrapText="1"/>
    </xf>
    <xf numFmtId="0" fontId="26" fillId="24" borderId="0" xfId="0" applyFont="1" applyFill="1" applyAlignment="1">
      <alignment vertical="center" wrapText="1"/>
    </xf>
    <xf numFmtId="0" fontId="21" fillId="24" borderId="0" xfId="0" applyFont="1" applyFill="1" applyAlignment="1">
      <alignment horizontal="left" wrapText="1"/>
    </xf>
    <xf numFmtId="0" fontId="20" fillId="24" borderId="25" xfId="0" applyFont="1" applyFill="1" applyBorder="1" applyAlignment="1">
      <alignment horizontal="center" vertical="center" wrapText="1"/>
    </xf>
    <xf numFmtId="0" fontId="22" fillId="24" borderId="10" xfId="0" applyFont="1" applyFill="1" applyBorder="1" applyAlignment="1">
      <alignment horizontal="left" vertical="center" wrapText="1"/>
    </xf>
    <xf numFmtId="0" fontId="20" fillId="24" borderId="17" xfId="0" applyFont="1" applyFill="1" applyBorder="1" applyAlignment="1">
      <alignment horizontal="left" vertical="center" wrapText="1"/>
    </xf>
    <xf numFmtId="49" fontId="20" fillId="24" borderId="26" xfId="0" applyNumberFormat="1" applyFont="1" applyFill="1" applyBorder="1" applyAlignment="1">
      <alignment horizontal="center" vertical="center" wrapText="1"/>
    </xf>
    <xf numFmtId="0" fontId="24" fillId="24" borderId="10" xfId="0" applyFont="1" applyFill="1" applyBorder="1" applyAlignment="1">
      <alignment horizontal="left" vertical="center" wrapText="1"/>
    </xf>
    <xf numFmtId="0" fontId="24" fillId="24" borderId="14" xfId="0" applyFont="1" applyFill="1" applyBorder="1" applyAlignment="1">
      <alignment horizontal="center" vertical="center" wrapText="1"/>
    </xf>
    <xf numFmtId="0" fontId="24" fillId="24" borderId="13" xfId="0" applyFont="1" applyFill="1" applyBorder="1" applyAlignment="1">
      <alignment horizontal="center" vertical="center" wrapText="1"/>
    </xf>
    <xf numFmtId="49" fontId="24" fillId="24" borderId="15" xfId="0" applyNumberFormat="1" applyFont="1" applyFill="1" applyBorder="1" applyAlignment="1">
      <alignment horizontal="center" vertical="center" wrapText="1"/>
    </xf>
    <xf numFmtId="49" fontId="24" fillId="24" borderId="22" xfId="0" applyNumberFormat="1" applyFont="1" applyFill="1" applyBorder="1" applyAlignment="1">
      <alignment horizontal="center" vertical="center" wrapText="1"/>
    </xf>
    <xf numFmtId="49" fontId="24" fillId="24" borderId="11" xfId="0" applyNumberFormat="1" applyFont="1" applyFill="1" applyBorder="1" applyAlignment="1">
      <alignment horizontal="center" vertical="center" wrapText="1"/>
    </xf>
    <xf numFmtId="49" fontId="24" fillId="24" borderId="26" xfId="0" applyNumberFormat="1" applyFont="1" applyFill="1" applyBorder="1" applyAlignment="1">
      <alignment horizontal="center" vertical="center" wrapText="1"/>
    </xf>
    <xf numFmtId="0" fontId="24" fillId="24" borderId="0" xfId="0" applyFont="1" applyFill="1" applyBorder="1" applyAlignment="1">
      <alignment horizontal="left" vertical="center" wrapText="1"/>
    </xf>
    <xf numFmtId="49" fontId="20" fillId="24" borderId="10" xfId="0" applyNumberFormat="1" applyFont="1" applyFill="1" applyBorder="1" applyAlignment="1">
      <alignment horizontal="left" vertical="center" wrapText="1"/>
    </xf>
    <xf numFmtId="0" fontId="19" fillId="24" borderId="0" xfId="0" applyFont="1" applyFill="1" applyBorder="1" applyAlignment="1">
      <alignment horizontal="left" vertical="center" wrapText="1"/>
    </xf>
    <xf numFmtId="0" fontId="26" fillId="24" borderId="0" xfId="0" applyFont="1" applyFill="1" applyAlignment="1">
      <alignment horizontal="right" vertical="center" wrapText="1" indent="4"/>
    </xf>
    <xf numFmtId="0" fontId="24" fillId="24" borderId="17" xfId="0" applyFont="1" applyFill="1" applyBorder="1" applyAlignment="1">
      <alignment horizontal="left" vertical="center" wrapText="1"/>
    </xf>
    <xf numFmtId="0" fontId="20" fillId="24" borderId="24" xfId="0" applyFont="1" applyFill="1" applyBorder="1" applyAlignment="1">
      <alignment horizontal="center" vertical="center" wrapText="1"/>
    </xf>
    <xf numFmtId="0" fontId="20" fillId="24" borderId="23" xfId="0" applyFont="1" applyFill="1" applyBorder="1" applyAlignment="1">
      <alignment horizontal="center" vertical="center" wrapText="1"/>
    </xf>
    <xf numFmtId="49" fontId="20" fillId="24" borderId="15" xfId="0" applyNumberFormat="1" applyFont="1" applyFill="1" applyBorder="1" applyAlignment="1">
      <alignment horizontal="center" vertical="center" wrapText="1"/>
    </xf>
    <xf numFmtId="49" fontId="20" fillId="24" borderId="22" xfId="0" applyNumberFormat="1" applyFont="1" applyFill="1" applyBorder="1" applyAlignment="1">
      <alignment horizontal="center" vertical="center" wrapText="1"/>
    </xf>
    <xf numFmtId="0" fontId="20" fillId="24" borderId="14" xfId="0" applyFont="1" applyFill="1" applyBorder="1" applyAlignment="1">
      <alignment horizontal="center" vertical="center" wrapText="1"/>
    </xf>
    <xf numFmtId="0" fontId="20" fillId="24" borderId="13" xfId="0" applyFont="1" applyFill="1" applyBorder="1" applyAlignment="1">
      <alignment horizontal="center" vertical="center" wrapText="1"/>
    </xf>
    <xf numFmtId="0" fontId="20" fillId="24" borderId="27" xfId="0" applyFont="1" applyFill="1" applyBorder="1" applyAlignment="1">
      <alignment horizontal="center" vertical="center" wrapText="1"/>
    </xf>
    <xf numFmtId="49" fontId="20" fillId="24" borderId="28" xfId="0" applyNumberFormat="1" applyFont="1" applyFill="1" applyBorder="1" applyAlignment="1">
      <alignment horizontal="center" vertical="center" wrapText="1"/>
    </xf>
    <xf numFmtId="49" fontId="20" fillId="24" borderId="11" xfId="0" applyNumberFormat="1" applyFont="1" applyFill="1" applyBorder="1" applyAlignment="1">
      <alignment horizontal="center" vertical="center" wrapText="1"/>
    </xf>
    <xf numFmtId="0" fontId="20" fillId="24" borderId="10" xfId="0" applyFont="1" applyFill="1" applyBorder="1" applyAlignment="1">
      <alignment horizontal="left" vertical="center" wrapText="1"/>
    </xf>
    <xf numFmtId="0" fontId="20" fillId="24" borderId="12" xfId="0" applyFont="1" applyFill="1" applyBorder="1" applyAlignment="1">
      <alignment horizontal="center" vertical="center" wrapText="1"/>
    </xf>
    <xf numFmtId="0" fontId="20" fillId="24" borderId="11" xfId="0" applyFont="1" applyFill="1" applyBorder="1" applyAlignment="1">
      <alignment horizontal="center" vertical="center" wrapText="1"/>
    </xf>
    <xf numFmtId="0" fontId="20" fillId="24" borderId="29" xfId="0" applyFont="1" applyFill="1" applyBorder="1" applyAlignment="1">
      <alignment horizontal="center" vertical="center" wrapText="1"/>
    </xf>
    <xf numFmtId="0" fontId="20" fillId="24" borderId="11" xfId="0" applyFont="1" applyFill="1" applyBorder="1" applyAlignment="1">
      <alignment horizontal="center" vertical="center"/>
    </xf>
    <xf numFmtId="0" fontId="20" fillId="24" borderId="0" xfId="0" applyFont="1" applyFill="1" applyBorder="1" applyAlignment="1">
      <alignment horizontal="left" vertical="center" wrapText="1"/>
    </xf>
    <xf numFmtId="0" fontId="20" fillId="24" borderId="19" xfId="0" applyFont="1" applyFill="1" applyBorder="1" applyAlignment="1">
      <alignment horizontal="center" vertical="center" wrapText="1"/>
    </xf>
    <xf numFmtId="180" fontId="20" fillId="24" borderId="19" xfId="0" applyNumberFormat="1" applyFont="1" applyFill="1" applyBorder="1" applyAlignment="1">
      <alignment horizontal="center" vertical="center" textRotation="90" wrapText="1"/>
    </xf>
    <xf numFmtId="180" fontId="20" fillId="24" borderId="14" xfId="0" applyNumberFormat="1" applyFont="1" applyFill="1" applyBorder="1" applyAlignment="1">
      <alignment horizontal="center" vertical="center" textRotation="90" wrapText="1"/>
    </xf>
    <xf numFmtId="0" fontId="21" fillId="24" borderId="0" xfId="0" applyFont="1" applyFill="1" applyBorder="1" applyAlignment="1">
      <alignment horizontal="left" wrapText="1"/>
    </xf>
    <xf numFmtId="0" fontId="21" fillId="24" borderId="0" xfId="0" applyFont="1" applyFill="1" applyBorder="1" applyAlignment="1">
      <alignment horizontal="left" vertical="center" wrapText="1"/>
    </xf>
    <xf numFmtId="0" fontId="21" fillId="24" borderId="0" xfId="0" applyFont="1" applyFill="1" applyAlignment="1">
      <alignment horizontal="left" vertical="center" wrapText="1"/>
    </xf>
    <xf numFmtId="49" fontId="21" fillId="24" borderId="0" xfId="0" applyNumberFormat="1" applyFont="1" applyFill="1" applyBorder="1" applyAlignment="1">
      <alignment horizontal="center" wrapText="1"/>
    </xf>
    <xf numFmtId="49" fontId="21" fillId="24" borderId="0" xfId="0" applyNumberFormat="1" applyFont="1" applyFill="1" applyBorder="1" applyAlignment="1">
      <alignment horizontal="right" wrapText="1"/>
    </xf>
    <xf numFmtId="49" fontId="20" fillId="24" borderId="0" xfId="0" applyNumberFormat="1" applyFont="1" applyFill="1" applyBorder="1" applyAlignment="1">
      <alignment horizontal="center" wrapText="1"/>
    </xf>
    <xf numFmtId="0" fontId="24" fillId="24" borderId="10" xfId="0" applyFont="1" applyFill="1" applyBorder="1" applyAlignment="1">
      <alignment horizontal="center" vertical="center" wrapText="1"/>
    </xf>
    <xf numFmtId="0" fontId="31" fillId="24" borderId="0" xfId="0" applyFont="1" applyFill="1" applyAlignment="1">
      <alignment horizontal="left" vertical="center" wrapText="1"/>
    </xf>
  </cellXfs>
  <cellStyles count="744">
    <cellStyle name="Normal" xfId="0"/>
    <cellStyle name="20% - Акцент1" xfId="15"/>
    <cellStyle name="20% - Акцент1 2" xfId="16"/>
    <cellStyle name="20% - Акцент1 2 2" xfId="17"/>
    <cellStyle name="20% - Акцент1 2 3" xfId="18"/>
    <cellStyle name="20% - Акцент1 2 4" xfId="19"/>
    <cellStyle name="20% - Акцент1 3" xfId="20"/>
    <cellStyle name="20% - Акцент1 3 2" xfId="21"/>
    <cellStyle name="20% - Акцент1 3 3" xfId="22"/>
    <cellStyle name="20% - Акцент1 3 4" xfId="23"/>
    <cellStyle name="20% - Акцент1 4" xfId="24"/>
    <cellStyle name="20% - Акцент1 4 2" xfId="25"/>
    <cellStyle name="20% - Акцент1 4 3" xfId="26"/>
    <cellStyle name="20% - Акцент1 4 4" xfId="27"/>
    <cellStyle name="20% - Акцент1 5" xfId="28"/>
    <cellStyle name="20% - Акцент1 5 2" xfId="29"/>
    <cellStyle name="20% - Акцент1 5 3" xfId="30"/>
    <cellStyle name="20% - Акцент1 5 4" xfId="31"/>
    <cellStyle name="20% - Акцент2" xfId="32"/>
    <cellStyle name="20% - Акцент2 2" xfId="33"/>
    <cellStyle name="20% - Акцент2 2 2" xfId="34"/>
    <cellStyle name="20% - Акцент2 2 3" xfId="35"/>
    <cellStyle name="20% - Акцент2 2 4" xfId="36"/>
    <cellStyle name="20% - Акцент2 3" xfId="37"/>
    <cellStyle name="20% - Акцент2 3 2" xfId="38"/>
    <cellStyle name="20% - Акцент2 3 3" xfId="39"/>
    <cellStyle name="20% - Акцент2 3 4" xfId="40"/>
    <cellStyle name="20% - Акцент2 4" xfId="41"/>
    <cellStyle name="20% - Акцент2 4 2" xfId="42"/>
    <cellStyle name="20% - Акцент2 4 3" xfId="43"/>
    <cellStyle name="20% - Акцент2 4 4" xfId="44"/>
    <cellStyle name="20% - Акцент2 5" xfId="45"/>
    <cellStyle name="20% - Акцент2 5 2" xfId="46"/>
    <cellStyle name="20% - Акцент2 5 3" xfId="47"/>
    <cellStyle name="20% - Акцент2 5 4" xfId="48"/>
    <cellStyle name="20% - Акцент3" xfId="49"/>
    <cellStyle name="20% - Акцент3 2" xfId="50"/>
    <cellStyle name="20% - Акцент3 2 2" xfId="51"/>
    <cellStyle name="20% - Акцент3 2 3" xfId="52"/>
    <cellStyle name="20% - Акцент3 2 4" xfId="53"/>
    <cellStyle name="20% - Акцент3 3" xfId="54"/>
    <cellStyle name="20% - Акцент3 3 2" xfId="55"/>
    <cellStyle name="20% - Акцент3 3 3" xfId="56"/>
    <cellStyle name="20% - Акцент3 3 4" xfId="57"/>
    <cellStyle name="20% - Акцент3 4" xfId="58"/>
    <cellStyle name="20% - Акцент3 4 2" xfId="59"/>
    <cellStyle name="20% - Акцент3 4 3" xfId="60"/>
    <cellStyle name="20% - Акцент3 4 4" xfId="61"/>
    <cellStyle name="20% - Акцент3 5" xfId="62"/>
    <cellStyle name="20% - Акцент3 5 2" xfId="63"/>
    <cellStyle name="20% - Акцент3 5 3" xfId="64"/>
    <cellStyle name="20% - Акцент3 5 4" xfId="65"/>
    <cellStyle name="20% - Акцент4" xfId="66"/>
    <cellStyle name="20% - Акцент4 2" xfId="67"/>
    <cellStyle name="20% - Акцент4 2 2" xfId="68"/>
    <cellStyle name="20% - Акцент4 2 3" xfId="69"/>
    <cellStyle name="20% - Акцент4 2 4" xfId="70"/>
    <cellStyle name="20% - Акцент4 3" xfId="71"/>
    <cellStyle name="20% - Акцент4 3 2" xfId="72"/>
    <cellStyle name="20% - Акцент4 3 3" xfId="73"/>
    <cellStyle name="20% - Акцент4 3 4" xfId="74"/>
    <cellStyle name="20% - Акцент4 4" xfId="75"/>
    <cellStyle name="20% - Акцент4 4 2" xfId="76"/>
    <cellStyle name="20% - Акцент4 4 3" xfId="77"/>
    <cellStyle name="20% - Акцент4 4 4" xfId="78"/>
    <cellStyle name="20% - Акцент4 5" xfId="79"/>
    <cellStyle name="20% - Акцент4 5 2" xfId="80"/>
    <cellStyle name="20% - Акцент4 5 3" xfId="81"/>
    <cellStyle name="20% - Акцент4 5 4" xfId="82"/>
    <cellStyle name="20% - Акцент5" xfId="83"/>
    <cellStyle name="20% - Акцент5 2" xfId="84"/>
    <cellStyle name="20% - Акцент5 2 2" xfId="85"/>
    <cellStyle name="20% - Акцент5 2 3" xfId="86"/>
    <cellStyle name="20% - Акцент5 2 4" xfId="87"/>
    <cellStyle name="20% - Акцент5 3" xfId="88"/>
    <cellStyle name="20% - Акцент5 3 2" xfId="89"/>
    <cellStyle name="20% - Акцент5 3 3" xfId="90"/>
    <cellStyle name="20% - Акцент5 3 4" xfId="91"/>
    <cellStyle name="20% - Акцент5 4" xfId="92"/>
    <cellStyle name="20% - Акцент5 4 2" xfId="93"/>
    <cellStyle name="20% - Акцент5 4 3" xfId="94"/>
    <cellStyle name="20% - Акцент5 4 4" xfId="95"/>
    <cellStyle name="20% - Акцент5 5" xfId="96"/>
    <cellStyle name="20% - Акцент5 5 2" xfId="97"/>
    <cellStyle name="20% - Акцент5 5 3" xfId="98"/>
    <cellStyle name="20% - Акцент5 5 4" xfId="99"/>
    <cellStyle name="20% - Акцент6" xfId="100"/>
    <cellStyle name="20% - Акцент6 2" xfId="101"/>
    <cellStyle name="20% - Акцент6 2 2" xfId="102"/>
    <cellStyle name="20% - Акцент6 2 3" xfId="103"/>
    <cellStyle name="20% - Акцент6 2 4" xfId="104"/>
    <cellStyle name="20% - Акцент6 3" xfId="105"/>
    <cellStyle name="20% - Акцент6 3 2" xfId="106"/>
    <cellStyle name="20% - Акцент6 3 3" xfId="107"/>
    <cellStyle name="20% - Акцент6 3 4" xfId="108"/>
    <cellStyle name="20% - Акцент6 4" xfId="109"/>
    <cellStyle name="20% - Акцент6 4 2" xfId="110"/>
    <cellStyle name="20% - Акцент6 4 3" xfId="111"/>
    <cellStyle name="20% - Акцент6 4 4" xfId="112"/>
    <cellStyle name="20% - Акцент6 5" xfId="113"/>
    <cellStyle name="20% - Акцент6 5 2" xfId="114"/>
    <cellStyle name="20% - Акцент6 5 3" xfId="115"/>
    <cellStyle name="20% - Акцент6 5 4" xfId="116"/>
    <cellStyle name="40% - Акцент1" xfId="117"/>
    <cellStyle name="40% - Акцент1 2" xfId="118"/>
    <cellStyle name="40% - Акцент1 2 2" xfId="119"/>
    <cellStyle name="40% - Акцент1 2 3" xfId="120"/>
    <cellStyle name="40% - Акцент1 2 4" xfId="121"/>
    <cellStyle name="40% - Акцент1 3" xfId="122"/>
    <cellStyle name="40% - Акцент1 3 2" xfId="123"/>
    <cellStyle name="40% - Акцент1 3 3" xfId="124"/>
    <cellStyle name="40% - Акцент1 3 4" xfId="125"/>
    <cellStyle name="40% - Акцент1 4" xfId="126"/>
    <cellStyle name="40% - Акцент1 4 2" xfId="127"/>
    <cellStyle name="40% - Акцент1 4 3" xfId="128"/>
    <cellStyle name="40% - Акцент1 4 4" xfId="129"/>
    <cellStyle name="40% - Акцент1 5" xfId="130"/>
    <cellStyle name="40% - Акцент1 5 2" xfId="131"/>
    <cellStyle name="40% - Акцент1 5 3" xfId="132"/>
    <cellStyle name="40% - Акцент1 5 4" xfId="133"/>
    <cellStyle name="40% - Акцент2" xfId="134"/>
    <cellStyle name="40% - Акцент2 2" xfId="135"/>
    <cellStyle name="40% - Акцент2 2 2" xfId="136"/>
    <cellStyle name="40% - Акцент2 2 3" xfId="137"/>
    <cellStyle name="40% - Акцент2 2 4" xfId="138"/>
    <cellStyle name="40% - Акцент2 3" xfId="139"/>
    <cellStyle name="40% - Акцент2 3 2" xfId="140"/>
    <cellStyle name="40% - Акцент2 3 3" xfId="141"/>
    <cellStyle name="40% - Акцент2 3 4" xfId="142"/>
    <cellStyle name="40% - Акцент2 4" xfId="143"/>
    <cellStyle name="40% - Акцент2 4 2" xfId="144"/>
    <cellStyle name="40% - Акцент2 4 3" xfId="145"/>
    <cellStyle name="40% - Акцент2 4 4" xfId="146"/>
    <cellStyle name="40% - Акцент2 5" xfId="147"/>
    <cellStyle name="40% - Акцент2 5 2" xfId="148"/>
    <cellStyle name="40% - Акцент2 5 3" xfId="149"/>
    <cellStyle name="40% - Акцент2 5 4" xfId="150"/>
    <cellStyle name="40% - Акцент3" xfId="151"/>
    <cellStyle name="40% - Акцент3 2" xfId="152"/>
    <cellStyle name="40% - Акцент3 2 2" xfId="153"/>
    <cellStyle name="40% - Акцент3 2 3" xfId="154"/>
    <cellStyle name="40% - Акцент3 2 4" xfId="155"/>
    <cellStyle name="40% - Акцент3 3" xfId="156"/>
    <cellStyle name="40% - Акцент3 3 2" xfId="157"/>
    <cellStyle name="40% - Акцент3 3 3" xfId="158"/>
    <cellStyle name="40% - Акцент3 3 4" xfId="159"/>
    <cellStyle name="40% - Акцент3 4" xfId="160"/>
    <cellStyle name="40% - Акцент3 4 2" xfId="161"/>
    <cellStyle name="40% - Акцент3 4 3" xfId="162"/>
    <cellStyle name="40% - Акцент3 4 4" xfId="163"/>
    <cellStyle name="40% - Акцент3 5" xfId="164"/>
    <cellStyle name="40% - Акцент3 5 2" xfId="165"/>
    <cellStyle name="40% - Акцент3 5 3" xfId="166"/>
    <cellStyle name="40% - Акцент3 5 4" xfId="167"/>
    <cellStyle name="40% - Акцент4" xfId="168"/>
    <cellStyle name="40% - Акцент4 2" xfId="169"/>
    <cellStyle name="40% - Акцент4 2 2" xfId="170"/>
    <cellStyle name="40% - Акцент4 2 3" xfId="171"/>
    <cellStyle name="40% - Акцент4 2 4" xfId="172"/>
    <cellStyle name="40% - Акцент4 3" xfId="173"/>
    <cellStyle name="40% - Акцент4 3 2" xfId="174"/>
    <cellStyle name="40% - Акцент4 3 3" xfId="175"/>
    <cellStyle name="40% - Акцент4 3 4" xfId="176"/>
    <cellStyle name="40% - Акцент4 4" xfId="177"/>
    <cellStyle name="40% - Акцент4 4 2" xfId="178"/>
    <cellStyle name="40% - Акцент4 4 3" xfId="179"/>
    <cellStyle name="40% - Акцент4 4 4" xfId="180"/>
    <cellStyle name="40% - Акцент4 5" xfId="181"/>
    <cellStyle name="40% - Акцент4 5 2" xfId="182"/>
    <cellStyle name="40% - Акцент4 5 3" xfId="183"/>
    <cellStyle name="40% - Акцент4 5 4" xfId="184"/>
    <cellStyle name="40% - Акцент5" xfId="185"/>
    <cellStyle name="40% - Акцент5 2" xfId="186"/>
    <cellStyle name="40% - Акцент5 2 2" xfId="187"/>
    <cellStyle name="40% - Акцент5 2 3" xfId="188"/>
    <cellStyle name="40% - Акцент5 2 4" xfId="189"/>
    <cellStyle name="40% - Акцент5 3" xfId="190"/>
    <cellStyle name="40% - Акцент5 3 2" xfId="191"/>
    <cellStyle name="40% - Акцент5 3 3" xfId="192"/>
    <cellStyle name="40% - Акцент5 3 4" xfId="193"/>
    <cellStyle name="40% - Акцент5 4" xfId="194"/>
    <cellStyle name="40% - Акцент5 4 2" xfId="195"/>
    <cellStyle name="40% - Акцент5 4 3" xfId="196"/>
    <cellStyle name="40% - Акцент5 4 4" xfId="197"/>
    <cellStyle name="40% - Акцент5 5" xfId="198"/>
    <cellStyle name="40% - Акцент5 5 2" xfId="199"/>
    <cellStyle name="40% - Акцент5 5 3" xfId="200"/>
    <cellStyle name="40% - Акцент5 5 4" xfId="201"/>
    <cellStyle name="40% - Акцент6" xfId="202"/>
    <cellStyle name="40% - Акцент6 2" xfId="203"/>
    <cellStyle name="40% - Акцент6 2 2" xfId="204"/>
    <cellStyle name="40% - Акцент6 2 3" xfId="205"/>
    <cellStyle name="40% - Акцент6 2 4" xfId="206"/>
    <cellStyle name="40% - Акцент6 3" xfId="207"/>
    <cellStyle name="40% - Акцент6 3 2" xfId="208"/>
    <cellStyle name="40% - Акцент6 3 3" xfId="209"/>
    <cellStyle name="40% - Акцент6 3 4" xfId="210"/>
    <cellStyle name="40% - Акцент6 4" xfId="211"/>
    <cellStyle name="40% - Акцент6 4 2" xfId="212"/>
    <cellStyle name="40% - Акцент6 4 3" xfId="213"/>
    <cellStyle name="40% - Акцент6 4 4" xfId="214"/>
    <cellStyle name="40% - Акцент6 5" xfId="215"/>
    <cellStyle name="40% - Акцент6 5 2" xfId="216"/>
    <cellStyle name="40% - Акцент6 5 3" xfId="217"/>
    <cellStyle name="40% - Акцент6 5 4" xfId="218"/>
    <cellStyle name="60% - Акцент1" xfId="219"/>
    <cellStyle name="60% - Акцент1 2" xfId="220"/>
    <cellStyle name="60% - Акцент1 2 2" xfId="221"/>
    <cellStyle name="60% - Акцент1 2 3" xfId="222"/>
    <cellStyle name="60% - Акцент1 2 4" xfId="223"/>
    <cellStyle name="60% - Акцент1 3" xfId="224"/>
    <cellStyle name="60% - Акцент1 3 2" xfId="225"/>
    <cellStyle name="60% - Акцент1 3 3" xfId="226"/>
    <cellStyle name="60% - Акцент1 3 4" xfId="227"/>
    <cellStyle name="60% - Акцент1 4" xfId="228"/>
    <cellStyle name="60% - Акцент1 4 2" xfId="229"/>
    <cellStyle name="60% - Акцент1 4 3" xfId="230"/>
    <cellStyle name="60% - Акцент1 4 4" xfId="231"/>
    <cellStyle name="60% - Акцент1 5" xfId="232"/>
    <cellStyle name="60% - Акцент1 5 2" xfId="233"/>
    <cellStyle name="60% - Акцент1 5 3" xfId="234"/>
    <cellStyle name="60% - Акцент1 5 4" xfId="235"/>
    <cellStyle name="60% - Акцент2" xfId="236"/>
    <cellStyle name="60% - Акцент2 2" xfId="237"/>
    <cellStyle name="60% - Акцент2 2 2" xfId="238"/>
    <cellStyle name="60% - Акцент2 2 3" xfId="239"/>
    <cellStyle name="60% - Акцент2 2 4" xfId="240"/>
    <cellStyle name="60% - Акцент2 3" xfId="241"/>
    <cellStyle name="60% - Акцент2 3 2" xfId="242"/>
    <cellStyle name="60% - Акцент2 3 3" xfId="243"/>
    <cellStyle name="60% - Акцент2 3 4" xfId="244"/>
    <cellStyle name="60% - Акцент2 4" xfId="245"/>
    <cellStyle name="60% - Акцент2 4 2" xfId="246"/>
    <cellStyle name="60% - Акцент2 4 3" xfId="247"/>
    <cellStyle name="60% - Акцент2 4 4" xfId="248"/>
    <cellStyle name="60% - Акцент2 5" xfId="249"/>
    <cellStyle name="60% - Акцент2 5 2" xfId="250"/>
    <cellStyle name="60% - Акцент2 5 3" xfId="251"/>
    <cellStyle name="60% - Акцент2 5 4" xfId="252"/>
    <cellStyle name="60% - Акцент3" xfId="253"/>
    <cellStyle name="60% - Акцент3 2" xfId="254"/>
    <cellStyle name="60% - Акцент3 2 2" xfId="255"/>
    <cellStyle name="60% - Акцент3 2 3" xfId="256"/>
    <cellStyle name="60% - Акцент3 2 4" xfId="257"/>
    <cellStyle name="60% - Акцент3 3" xfId="258"/>
    <cellStyle name="60% - Акцент3 3 2" xfId="259"/>
    <cellStyle name="60% - Акцент3 3 3" xfId="260"/>
    <cellStyle name="60% - Акцент3 3 4" xfId="261"/>
    <cellStyle name="60% - Акцент3 4" xfId="262"/>
    <cellStyle name="60% - Акцент3 4 2" xfId="263"/>
    <cellStyle name="60% - Акцент3 4 3" xfId="264"/>
    <cellStyle name="60% - Акцент3 4 4" xfId="265"/>
    <cellStyle name="60% - Акцент3 5" xfId="266"/>
    <cellStyle name="60% - Акцент3 5 2" xfId="267"/>
    <cellStyle name="60% - Акцент3 5 3" xfId="268"/>
    <cellStyle name="60% - Акцент3 5 4" xfId="269"/>
    <cellStyle name="60% - Акцент4" xfId="270"/>
    <cellStyle name="60% - Акцент4 2" xfId="271"/>
    <cellStyle name="60% - Акцент4 2 2" xfId="272"/>
    <cellStyle name="60% - Акцент4 2 3" xfId="273"/>
    <cellStyle name="60% - Акцент4 2 4" xfId="274"/>
    <cellStyle name="60% - Акцент4 3" xfId="275"/>
    <cellStyle name="60% - Акцент4 3 2" xfId="276"/>
    <cellStyle name="60% - Акцент4 3 3" xfId="277"/>
    <cellStyle name="60% - Акцент4 3 4" xfId="278"/>
    <cellStyle name="60% - Акцент4 4" xfId="279"/>
    <cellStyle name="60% - Акцент4 4 2" xfId="280"/>
    <cellStyle name="60% - Акцент4 4 3" xfId="281"/>
    <cellStyle name="60% - Акцент4 4 4" xfId="282"/>
    <cellStyle name="60% - Акцент4 5" xfId="283"/>
    <cellStyle name="60% - Акцент4 5 2" xfId="284"/>
    <cellStyle name="60% - Акцент4 5 3" xfId="285"/>
    <cellStyle name="60% - Акцент4 5 4" xfId="286"/>
    <cellStyle name="60% - Акцент5" xfId="287"/>
    <cellStyle name="60% - Акцент5 2" xfId="288"/>
    <cellStyle name="60% - Акцент5 2 2" xfId="289"/>
    <cellStyle name="60% - Акцент5 2 3" xfId="290"/>
    <cellStyle name="60% - Акцент5 2 4" xfId="291"/>
    <cellStyle name="60% - Акцент5 3" xfId="292"/>
    <cellStyle name="60% - Акцент5 3 2" xfId="293"/>
    <cellStyle name="60% - Акцент5 3 3" xfId="294"/>
    <cellStyle name="60% - Акцент5 3 4" xfId="295"/>
    <cellStyle name="60% - Акцент5 4" xfId="296"/>
    <cellStyle name="60% - Акцент5 4 2" xfId="297"/>
    <cellStyle name="60% - Акцент5 4 3" xfId="298"/>
    <cellStyle name="60% - Акцент5 4 4" xfId="299"/>
    <cellStyle name="60% - Акцент5 5" xfId="300"/>
    <cellStyle name="60% - Акцент5 5 2" xfId="301"/>
    <cellStyle name="60% - Акцент5 5 3" xfId="302"/>
    <cellStyle name="60% - Акцент5 5 4" xfId="303"/>
    <cellStyle name="60% - Акцент6" xfId="304"/>
    <cellStyle name="60% - Акцент6 2" xfId="305"/>
    <cellStyle name="60% - Акцент6 2 2" xfId="306"/>
    <cellStyle name="60% - Акцент6 2 3" xfId="307"/>
    <cellStyle name="60% - Акцент6 2 4" xfId="308"/>
    <cellStyle name="60% - Акцент6 3" xfId="309"/>
    <cellStyle name="60% - Акцент6 3 2" xfId="310"/>
    <cellStyle name="60% - Акцент6 3 3" xfId="311"/>
    <cellStyle name="60% - Акцент6 3 4" xfId="312"/>
    <cellStyle name="60% - Акцент6 4" xfId="313"/>
    <cellStyle name="60% - Акцент6 4 2" xfId="314"/>
    <cellStyle name="60% - Акцент6 4 3" xfId="315"/>
    <cellStyle name="60% - Акцент6 4 4" xfId="316"/>
    <cellStyle name="60% - Акцент6 5" xfId="317"/>
    <cellStyle name="60% - Акцент6 5 2" xfId="318"/>
    <cellStyle name="60% - Акцент6 5 3" xfId="319"/>
    <cellStyle name="60% - Акцент6 5 4" xfId="320"/>
    <cellStyle name="Акцент1" xfId="321"/>
    <cellStyle name="Акцент1 2" xfId="322"/>
    <cellStyle name="Акцент1 2 2" xfId="323"/>
    <cellStyle name="Акцент1 2 3" xfId="324"/>
    <cellStyle name="Акцент1 2 4" xfId="325"/>
    <cellStyle name="Акцент1 3" xfId="326"/>
    <cellStyle name="Акцент1 3 2" xfId="327"/>
    <cellStyle name="Акцент1 3 3" xfId="328"/>
    <cellStyle name="Акцент1 3 4" xfId="329"/>
    <cellStyle name="Акцент1 4" xfId="330"/>
    <cellStyle name="Акцент1 4 2" xfId="331"/>
    <cellStyle name="Акцент1 4 3" xfId="332"/>
    <cellStyle name="Акцент1 4 4" xfId="333"/>
    <cellStyle name="Акцент1 5" xfId="334"/>
    <cellStyle name="Акцент1 5 2" xfId="335"/>
    <cellStyle name="Акцент1 5 3" xfId="336"/>
    <cellStyle name="Акцент1 5 4" xfId="337"/>
    <cellStyle name="Акцент2" xfId="338"/>
    <cellStyle name="Акцент2 2" xfId="339"/>
    <cellStyle name="Акцент2 2 2" xfId="340"/>
    <cellStyle name="Акцент2 2 3" xfId="341"/>
    <cellStyle name="Акцент2 2 4" xfId="342"/>
    <cellStyle name="Акцент2 3" xfId="343"/>
    <cellStyle name="Акцент2 3 2" xfId="344"/>
    <cellStyle name="Акцент2 3 3" xfId="345"/>
    <cellStyle name="Акцент2 3 4" xfId="346"/>
    <cellStyle name="Акцент2 4" xfId="347"/>
    <cellStyle name="Акцент2 4 2" xfId="348"/>
    <cellStyle name="Акцент2 4 3" xfId="349"/>
    <cellStyle name="Акцент2 4 4" xfId="350"/>
    <cellStyle name="Акцент2 5" xfId="351"/>
    <cellStyle name="Акцент2 5 2" xfId="352"/>
    <cellStyle name="Акцент2 5 3" xfId="353"/>
    <cellStyle name="Акцент2 5 4" xfId="354"/>
    <cellStyle name="Акцент3" xfId="355"/>
    <cellStyle name="Акцент3 2" xfId="356"/>
    <cellStyle name="Акцент3 2 2" xfId="357"/>
    <cellStyle name="Акцент3 2 3" xfId="358"/>
    <cellStyle name="Акцент3 2 4" xfId="359"/>
    <cellStyle name="Акцент3 3" xfId="360"/>
    <cellStyle name="Акцент3 3 2" xfId="361"/>
    <cellStyle name="Акцент3 3 3" xfId="362"/>
    <cellStyle name="Акцент3 3 4" xfId="363"/>
    <cellStyle name="Акцент3 4" xfId="364"/>
    <cellStyle name="Акцент3 4 2" xfId="365"/>
    <cellStyle name="Акцент3 4 3" xfId="366"/>
    <cellStyle name="Акцент3 4 4" xfId="367"/>
    <cellStyle name="Акцент3 5" xfId="368"/>
    <cellStyle name="Акцент3 5 2" xfId="369"/>
    <cellStyle name="Акцент3 5 3" xfId="370"/>
    <cellStyle name="Акцент3 5 4" xfId="371"/>
    <cellStyle name="Акцент4" xfId="372"/>
    <cellStyle name="Акцент4 2" xfId="373"/>
    <cellStyle name="Акцент4 2 2" xfId="374"/>
    <cellStyle name="Акцент4 2 3" xfId="375"/>
    <cellStyle name="Акцент4 2 4" xfId="376"/>
    <cellStyle name="Акцент4 3" xfId="377"/>
    <cellStyle name="Акцент4 3 2" xfId="378"/>
    <cellStyle name="Акцент4 3 3" xfId="379"/>
    <cellStyle name="Акцент4 3 4" xfId="380"/>
    <cellStyle name="Акцент4 4" xfId="381"/>
    <cellStyle name="Акцент4 4 2" xfId="382"/>
    <cellStyle name="Акцент4 4 3" xfId="383"/>
    <cellStyle name="Акцент4 4 4" xfId="384"/>
    <cellStyle name="Акцент4 5" xfId="385"/>
    <cellStyle name="Акцент4 5 2" xfId="386"/>
    <cellStyle name="Акцент4 5 3" xfId="387"/>
    <cellStyle name="Акцент4 5 4" xfId="388"/>
    <cellStyle name="Акцент5" xfId="389"/>
    <cellStyle name="Акцент5 2" xfId="390"/>
    <cellStyle name="Акцент5 2 2" xfId="391"/>
    <cellStyle name="Акцент5 2 3" xfId="392"/>
    <cellStyle name="Акцент5 2 4" xfId="393"/>
    <cellStyle name="Акцент5 3" xfId="394"/>
    <cellStyle name="Акцент5 3 2" xfId="395"/>
    <cellStyle name="Акцент5 3 3" xfId="396"/>
    <cellStyle name="Акцент5 3 4" xfId="397"/>
    <cellStyle name="Акцент5 4" xfId="398"/>
    <cellStyle name="Акцент5 4 2" xfId="399"/>
    <cellStyle name="Акцент5 4 3" xfId="400"/>
    <cellStyle name="Акцент5 4 4" xfId="401"/>
    <cellStyle name="Акцент5 5" xfId="402"/>
    <cellStyle name="Акцент5 5 2" xfId="403"/>
    <cellStyle name="Акцент5 5 3" xfId="404"/>
    <cellStyle name="Акцент5 5 4" xfId="405"/>
    <cellStyle name="Акцент6" xfId="406"/>
    <cellStyle name="Акцент6 2" xfId="407"/>
    <cellStyle name="Акцент6 2 2" xfId="408"/>
    <cellStyle name="Акцент6 2 3" xfId="409"/>
    <cellStyle name="Акцент6 2 4" xfId="410"/>
    <cellStyle name="Акцент6 3" xfId="411"/>
    <cellStyle name="Акцент6 3 2" xfId="412"/>
    <cellStyle name="Акцент6 3 3" xfId="413"/>
    <cellStyle name="Акцент6 3 4" xfId="414"/>
    <cellStyle name="Акцент6 4" xfId="415"/>
    <cellStyle name="Акцент6 4 2" xfId="416"/>
    <cellStyle name="Акцент6 4 3" xfId="417"/>
    <cellStyle name="Акцент6 4 4" xfId="418"/>
    <cellStyle name="Акцент6 5" xfId="419"/>
    <cellStyle name="Акцент6 5 2" xfId="420"/>
    <cellStyle name="Акцент6 5 3" xfId="421"/>
    <cellStyle name="Акцент6 5 4" xfId="422"/>
    <cellStyle name="Ввод " xfId="423"/>
    <cellStyle name="Ввод  2" xfId="424"/>
    <cellStyle name="Ввод  2 2" xfId="425"/>
    <cellStyle name="Ввод  2 3" xfId="426"/>
    <cellStyle name="Ввод  2 4" xfId="427"/>
    <cellStyle name="Ввод  3" xfId="428"/>
    <cellStyle name="Ввод  3 2" xfId="429"/>
    <cellStyle name="Ввод  3 3" xfId="430"/>
    <cellStyle name="Ввод  3 4" xfId="431"/>
    <cellStyle name="Ввод  4" xfId="432"/>
    <cellStyle name="Ввод  4 2" xfId="433"/>
    <cellStyle name="Ввод  4 3" xfId="434"/>
    <cellStyle name="Ввод  4 4" xfId="435"/>
    <cellStyle name="Ввод  5" xfId="436"/>
    <cellStyle name="Ввод  5 2" xfId="437"/>
    <cellStyle name="Ввод  5 3" xfId="438"/>
    <cellStyle name="Ввод  5 4" xfId="439"/>
    <cellStyle name="Вывод" xfId="440"/>
    <cellStyle name="Вывод 2" xfId="441"/>
    <cellStyle name="Вывод 2 2" xfId="442"/>
    <cellStyle name="Вывод 2 3" xfId="443"/>
    <cellStyle name="Вывод 2 4" xfId="444"/>
    <cellStyle name="Вывод 3" xfId="445"/>
    <cellStyle name="Вывод 3 2" xfId="446"/>
    <cellStyle name="Вывод 3 3" xfId="447"/>
    <cellStyle name="Вывод 3 4" xfId="448"/>
    <cellStyle name="Вывод 4" xfId="449"/>
    <cellStyle name="Вывод 4 2" xfId="450"/>
    <cellStyle name="Вывод 4 3" xfId="451"/>
    <cellStyle name="Вывод 4 4" xfId="452"/>
    <cellStyle name="Вывод 5" xfId="453"/>
    <cellStyle name="Вывод 5 2" xfId="454"/>
    <cellStyle name="Вывод 5 3" xfId="455"/>
    <cellStyle name="Вывод 5 4" xfId="456"/>
    <cellStyle name="Вычисление" xfId="457"/>
    <cellStyle name="Вычисление 2" xfId="458"/>
    <cellStyle name="Вычисление 2 2" xfId="459"/>
    <cellStyle name="Вычисление 2 3" xfId="460"/>
    <cellStyle name="Вычисление 2 4" xfId="461"/>
    <cellStyle name="Вычисление 3" xfId="462"/>
    <cellStyle name="Вычисление 3 2" xfId="463"/>
    <cellStyle name="Вычисление 3 3" xfId="464"/>
    <cellStyle name="Вычисление 3 4" xfId="465"/>
    <cellStyle name="Вычисление 4" xfId="466"/>
    <cellStyle name="Вычисление 4 2" xfId="467"/>
    <cellStyle name="Вычисление 4 3" xfId="468"/>
    <cellStyle name="Вычисление 4 4" xfId="469"/>
    <cellStyle name="Вычисление 5" xfId="470"/>
    <cellStyle name="Вычисление 5 2" xfId="471"/>
    <cellStyle name="Вычисление 5 3" xfId="472"/>
    <cellStyle name="Вычисление 5 4" xfId="473"/>
    <cellStyle name="Hyperlink" xfId="474"/>
    <cellStyle name="Currency" xfId="475"/>
    <cellStyle name="Currency [0]" xfId="476"/>
    <cellStyle name="Заголовок 1" xfId="477"/>
    <cellStyle name="Заголовок 1 2" xfId="478"/>
    <cellStyle name="Заголовок 1 2 2" xfId="479"/>
    <cellStyle name="Заголовок 1 2 3" xfId="480"/>
    <cellStyle name="Заголовок 1 2 4" xfId="481"/>
    <cellStyle name="Заголовок 1 3" xfId="482"/>
    <cellStyle name="Заголовок 1 3 2" xfId="483"/>
    <cellStyle name="Заголовок 1 3 3" xfId="484"/>
    <cellStyle name="Заголовок 1 3 4" xfId="485"/>
    <cellStyle name="Заголовок 1 4" xfId="486"/>
    <cellStyle name="Заголовок 1 4 2" xfId="487"/>
    <cellStyle name="Заголовок 1 4 3" xfId="488"/>
    <cellStyle name="Заголовок 1 4 4" xfId="489"/>
    <cellStyle name="Заголовок 1 5" xfId="490"/>
    <cellStyle name="Заголовок 1 5 2" xfId="491"/>
    <cellStyle name="Заголовок 1 5 3" xfId="492"/>
    <cellStyle name="Заголовок 1 5 4" xfId="493"/>
    <cellStyle name="Заголовок 2" xfId="494"/>
    <cellStyle name="Заголовок 2 2" xfId="495"/>
    <cellStyle name="Заголовок 2 2 2" xfId="496"/>
    <cellStyle name="Заголовок 2 2 3" xfId="497"/>
    <cellStyle name="Заголовок 2 2 4" xfId="498"/>
    <cellStyle name="Заголовок 2 3" xfId="499"/>
    <cellStyle name="Заголовок 2 3 2" xfId="500"/>
    <cellStyle name="Заголовок 2 3 3" xfId="501"/>
    <cellStyle name="Заголовок 2 3 4" xfId="502"/>
    <cellStyle name="Заголовок 2 4" xfId="503"/>
    <cellStyle name="Заголовок 2 4 2" xfId="504"/>
    <cellStyle name="Заголовок 2 4 3" xfId="505"/>
    <cellStyle name="Заголовок 2 4 4" xfId="506"/>
    <cellStyle name="Заголовок 2 5" xfId="507"/>
    <cellStyle name="Заголовок 2 5 2" xfId="508"/>
    <cellStyle name="Заголовок 2 5 3" xfId="509"/>
    <cellStyle name="Заголовок 2 5 4" xfId="510"/>
    <cellStyle name="Заголовок 3" xfId="511"/>
    <cellStyle name="Заголовок 3 2" xfId="512"/>
    <cellStyle name="Заголовок 3 2 2" xfId="513"/>
    <cellStyle name="Заголовок 3 2 3" xfId="514"/>
    <cellStyle name="Заголовок 3 2 4" xfId="515"/>
    <cellStyle name="Заголовок 3 3" xfId="516"/>
    <cellStyle name="Заголовок 3 3 2" xfId="517"/>
    <cellStyle name="Заголовок 3 3 3" xfId="518"/>
    <cellStyle name="Заголовок 3 3 4" xfId="519"/>
    <cellStyle name="Заголовок 3 4" xfId="520"/>
    <cellStyle name="Заголовок 3 4 2" xfId="521"/>
    <cellStyle name="Заголовок 3 4 3" xfId="522"/>
    <cellStyle name="Заголовок 3 4 4" xfId="523"/>
    <cellStyle name="Заголовок 3 5" xfId="524"/>
    <cellStyle name="Заголовок 3 5 2" xfId="525"/>
    <cellStyle name="Заголовок 3 5 3" xfId="526"/>
    <cellStyle name="Заголовок 3 5 4" xfId="527"/>
    <cellStyle name="Заголовок 4" xfId="528"/>
    <cellStyle name="Заголовок 4 2" xfId="529"/>
    <cellStyle name="Заголовок 4 2 2" xfId="530"/>
    <cellStyle name="Заголовок 4 2 3" xfId="531"/>
    <cellStyle name="Заголовок 4 2 4" xfId="532"/>
    <cellStyle name="Заголовок 4 3" xfId="533"/>
    <cellStyle name="Заголовок 4 3 2" xfId="534"/>
    <cellStyle name="Заголовок 4 3 3" xfId="535"/>
    <cellStyle name="Заголовок 4 3 4" xfId="536"/>
    <cellStyle name="Заголовок 4 4" xfId="537"/>
    <cellStyle name="Заголовок 4 4 2" xfId="538"/>
    <cellStyle name="Заголовок 4 4 3" xfId="539"/>
    <cellStyle name="Заголовок 4 4 4" xfId="540"/>
    <cellStyle name="Заголовок 4 5" xfId="541"/>
    <cellStyle name="Заголовок 4 5 2" xfId="542"/>
    <cellStyle name="Заголовок 4 5 3" xfId="543"/>
    <cellStyle name="Заголовок 4 5 4" xfId="544"/>
    <cellStyle name="Итог" xfId="545"/>
    <cellStyle name="Итог 2" xfId="546"/>
    <cellStyle name="Итог 2 2" xfId="547"/>
    <cellStyle name="Итог 2 3" xfId="548"/>
    <cellStyle name="Итог 2 4" xfId="549"/>
    <cellStyle name="Итог 3" xfId="550"/>
    <cellStyle name="Итог 3 2" xfId="551"/>
    <cellStyle name="Итог 3 3" xfId="552"/>
    <cellStyle name="Итог 3 4" xfId="553"/>
    <cellStyle name="Итог 4" xfId="554"/>
    <cellStyle name="Итог 4 2" xfId="555"/>
    <cellStyle name="Итог 4 3" xfId="556"/>
    <cellStyle name="Итог 4 4" xfId="557"/>
    <cellStyle name="Итог 5" xfId="558"/>
    <cellStyle name="Итог 5 2" xfId="559"/>
    <cellStyle name="Итог 5 3" xfId="560"/>
    <cellStyle name="Итог 5 4" xfId="561"/>
    <cellStyle name="Контрольная ячейка" xfId="562"/>
    <cellStyle name="Контрольная ячейка 2" xfId="563"/>
    <cellStyle name="Контрольная ячейка 2 2" xfId="564"/>
    <cellStyle name="Контрольная ячейка 2 3" xfId="565"/>
    <cellStyle name="Контрольная ячейка 2 4" xfId="566"/>
    <cellStyle name="Контрольная ячейка 3" xfId="567"/>
    <cellStyle name="Контрольная ячейка 3 2" xfId="568"/>
    <cellStyle name="Контрольная ячейка 3 3" xfId="569"/>
    <cellStyle name="Контрольная ячейка 3 4" xfId="570"/>
    <cellStyle name="Контрольная ячейка 4" xfId="571"/>
    <cellStyle name="Контрольная ячейка 4 2" xfId="572"/>
    <cellStyle name="Контрольная ячейка 4 3" xfId="573"/>
    <cellStyle name="Контрольная ячейка 4 4" xfId="574"/>
    <cellStyle name="Контрольная ячейка 5" xfId="575"/>
    <cellStyle name="Контрольная ячейка 5 2" xfId="576"/>
    <cellStyle name="Контрольная ячейка 5 3" xfId="577"/>
    <cellStyle name="Контрольная ячейка 5 4" xfId="578"/>
    <cellStyle name="Название" xfId="579"/>
    <cellStyle name="Название 2" xfId="580"/>
    <cellStyle name="Название 2 2" xfId="581"/>
    <cellStyle name="Название 2 3" xfId="582"/>
    <cellStyle name="Название 2 4" xfId="583"/>
    <cellStyle name="Название 3" xfId="584"/>
    <cellStyle name="Название 3 2" xfId="585"/>
    <cellStyle name="Название 3 3" xfId="586"/>
    <cellStyle name="Название 3 4" xfId="587"/>
    <cellStyle name="Название 4" xfId="588"/>
    <cellStyle name="Название 4 2" xfId="589"/>
    <cellStyle name="Название 4 3" xfId="590"/>
    <cellStyle name="Название 4 4" xfId="591"/>
    <cellStyle name="Название 5" xfId="592"/>
    <cellStyle name="Название 5 2" xfId="593"/>
    <cellStyle name="Название 5 3" xfId="594"/>
    <cellStyle name="Название 5 4" xfId="595"/>
    <cellStyle name="Нейтральный" xfId="596"/>
    <cellStyle name="Нейтральный 2" xfId="597"/>
    <cellStyle name="Нейтральный 2 2" xfId="598"/>
    <cellStyle name="Нейтральный 2 3" xfId="599"/>
    <cellStyle name="Нейтральный 2 4" xfId="600"/>
    <cellStyle name="Нейтральный 3" xfId="601"/>
    <cellStyle name="Нейтральный 3 2" xfId="602"/>
    <cellStyle name="Нейтральный 3 3" xfId="603"/>
    <cellStyle name="Нейтральный 3 4" xfId="604"/>
    <cellStyle name="Нейтральный 4" xfId="605"/>
    <cellStyle name="Нейтральный 4 2" xfId="606"/>
    <cellStyle name="Нейтральный 4 3" xfId="607"/>
    <cellStyle name="Нейтральный 4 4" xfId="608"/>
    <cellStyle name="Нейтральный 5" xfId="609"/>
    <cellStyle name="Нейтральный 5 2" xfId="610"/>
    <cellStyle name="Нейтральный 5 3" xfId="611"/>
    <cellStyle name="Нейтральный 5 4" xfId="612"/>
    <cellStyle name="Обычный 2" xfId="613"/>
    <cellStyle name="Обычный 2 2" xfId="614"/>
    <cellStyle name="Обычный 2 3" xfId="615"/>
    <cellStyle name="Обычный 2 4" xfId="616"/>
    <cellStyle name="Обычный 2 5" xfId="617"/>
    <cellStyle name="Обычный 3" xfId="618"/>
    <cellStyle name="Обычный 4" xfId="619"/>
    <cellStyle name="Обычный 5" xfId="620"/>
    <cellStyle name="Обычный 6" xfId="621"/>
    <cellStyle name="Обычный 7" xfId="622"/>
    <cellStyle name="Обычный 8" xfId="623"/>
    <cellStyle name="Обычный 9" xfId="624"/>
    <cellStyle name="Обычный_ПЛАН Бюджету розвитку на 2013_деп.економіки" xfId="625"/>
    <cellStyle name="Followed Hyperlink" xfId="626"/>
    <cellStyle name="Плохой" xfId="627"/>
    <cellStyle name="Плохой 2" xfId="628"/>
    <cellStyle name="Плохой 2 2" xfId="629"/>
    <cellStyle name="Плохой 2 3" xfId="630"/>
    <cellStyle name="Плохой 2 4" xfId="631"/>
    <cellStyle name="Плохой 3" xfId="632"/>
    <cellStyle name="Плохой 3 2" xfId="633"/>
    <cellStyle name="Плохой 3 3" xfId="634"/>
    <cellStyle name="Плохой 3 4" xfId="635"/>
    <cellStyle name="Плохой 4" xfId="636"/>
    <cellStyle name="Плохой 4 2" xfId="637"/>
    <cellStyle name="Плохой 4 3" xfId="638"/>
    <cellStyle name="Плохой 4 4" xfId="639"/>
    <cellStyle name="Плохой 5" xfId="640"/>
    <cellStyle name="Плохой 5 2" xfId="641"/>
    <cellStyle name="Плохой 5 3" xfId="642"/>
    <cellStyle name="Плохой 5 4" xfId="643"/>
    <cellStyle name="Пояснение" xfId="644"/>
    <cellStyle name="Пояснение 2" xfId="645"/>
    <cellStyle name="Пояснение 2 2" xfId="646"/>
    <cellStyle name="Пояснение 2 3" xfId="647"/>
    <cellStyle name="Пояснение 2 4" xfId="648"/>
    <cellStyle name="Пояснение 3" xfId="649"/>
    <cellStyle name="Пояснение 3 2" xfId="650"/>
    <cellStyle name="Пояснение 3 3" xfId="651"/>
    <cellStyle name="Пояснение 3 4" xfId="652"/>
    <cellStyle name="Пояснение 4" xfId="653"/>
    <cellStyle name="Пояснение 4 2" xfId="654"/>
    <cellStyle name="Пояснение 4 3" xfId="655"/>
    <cellStyle name="Пояснение 4 4" xfId="656"/>
    <cellStyle name="Пояснение 5" xfId="657"/>
    <cellStyle name="Пояснение 5 2" xfId="658"/>
    <cellStyle name="Пояснение 5 3" xfId="659"/>
    <cellStyle name="Пояснение 5 4" xfId="660"/>
    <cellStyle name="Примечание" xfId="661"/>
    <cellStyle name="Примечание 2" xfId="662"/>
    <cellStyle name="Примечание 2 2" xfId="663"/>
    <cellStyle name="Примечание 2 3" xfId="664"/>
    <cellStyle name="Примечание 2 4" xfId="665"/>
    <cellStyle name="Примечание 3" xfId="666"/>
    <cellStyle name="Примечание 3 2" xfId="667"/>
    <cellStyle name="Примечание 3 3" xfId="668"/>
    <cellStyle name="Примечание 3 4" xfId="669"/>
    <cellStyle name="Примечание 4" xfId="670"/>
    <cellStyle name="Примечание 4 2" xfId="671"/>
    <cellStyle name="Примечание 4 3" xfId="672"/>
    <cellStyle name="Примечание 4 4" xfId="673"/>
    <cellStyle name="Примечание 5" xfId="674"/>
    <cellStyle name="Примечание 5 2" xfId="675"/>
    <cellStyle name="Примечание 5 3" xfId="676"/>
    <cellStyle name="Примечание 5 4" xfId="677"/>
    <cellStyle name="Percent" xfId="678"/>
    <cellStyle name="Процентный 2" xfId="679"/>
    <cellStyle name="Процентный 2 10" xfId="680"/>
    <cellStyle name="Процентный 2 11" xfId="681"/>
    <cellStyle name="Процентный 2 12" xfId="682"/>
    <cellStyle name="Процентный 2 13" xfId="683"/>
    <cellStyle name="Процентный 2 14" xfId="684"/>
    <cellStyle name="Процентный 2 15" xfId="685"/>
    <cellStyle name="Процентный 2 16" xfId="686"/>
    <cellStyle name="Процентный 2 17" xfId="687"/>
    <cellStyle name="Процентный 2 18" xfId="688"/>
    <cellStyle name="Процентный 2 19" xfId="689"/>
    <cellStyle name="Процентный 2 2" xfId="690"/>
    <cellStyle name="Процентный 2 20" xfId="691"/>
    <cellStyle name="Процентный 2 21" xfId="692"/>
    <cellStyle name="Процентный 2 22" xfId="693"/>
    <cellStyle name="Процентный 2 23" xfId="694"/>
    <cellStyle name="Процентный 2 24" xfId="695"/>
    <cellStyle name="Процентный 2 25" xfId="696"/>
    <cellStyle name="Процентный 2 3" xfId="697"/>
    <cellStyle name="Процентный 2 4" xfId="698"/>
    <cellStyle name="Процентный 2 5" xfId="699"/>
    <cellStyle name="Процентный 2 6" xfId="700"/>
    <cellStyle name="Процентный 2 7" xfId="701"/>
    <cellStyle name="Процентный 2 8" xfId="702"/>
    <cellStyle name="Процентный 2 9" xfId="703"/>
    <cellStyle name="Процентный 5" xfId="704"/>
    <cellStyle name="Связанная ячейка" xfId="705"/>
    <cellStyle name="Связанная ячейка 2" xfId="706"/>
    <cellStyle name="Связанная ячейка 2 2" xfId="707"/>
    <cellStyle name="Связанная ячейка 2 3" xfId="708"/>
    <cellStyle name="Связанная ячейка 2 4" xfId="709"/>
    <cellStyle name="Связанная ячейка 3" xfId="710"/>
    <cellStyle name="Связанная ячейка 3 2" xfId="711"/>
    <cellStyle name="Связанная ячейка 3 3" xfId="712"/>
    <cellStyle name="Связанная ячейка 3 4" xfId="713"/>
    <cellStyle name="Связанная ячейка 4" xfId="714"/>
    <cellStyle name="Связанная ячейка 4 2" xfId="715"/>
    <cellStyle name="Связанная ячейка 4 3" xfId="716"/>
    <cellStyle name="Связанная ячейка 4 4" xfId="717"/>
    <cellStyle name="Связанная ячейка 5" xfId="718"/>
    <cellStyle name="Связанная ячейка 5 2" xfId="719"/>
    <cellStyle name="Связанная ячейка 5 3" xfId="720"/>
    <cellStyle name="Связанная ячейка 5 4" xfId="721"/>
    <cellStyle name="Текст предупреждения" xfId="722"/>
    <cellStyle name="Текст предупреждения 2" xfId="723"/>
    <cellStyle name="Текст предупреждения 2 2" xfId="724"/>
    <cellStyle name="Текст предупреждения 2 3" xfId="725"/>
    <cellStyle name="Текст предупреждения 2 4" xfId="726"/>
    <cellStyle name="Текст предупреждения 3" xfId="727"/>
    <cellStyle name="Текст предупреждения 3 2" xfId="728"/>
    <cellStyle name="Текст предупреждения 3 3" xfId="729"/>
    <cellStyle name="Текст предупреждения 3 4" xfId="730"/>
    <cellStyle name="Текст предупреждения 4" xfId="731"/>
    <cellStyle name="Текст предупреждения 4 2" xfId="732"/>
    <cellStyle name="Текст предупреждения 4 3" xfId="733"/>
    <cellStyle name="Текст предупреждения 4 4" xfId="734"/>
    <cellStyle name="Текст предупреждения 5" xfId="735"/>
    <cellStyle name="Текст предупреждения 5 2" xfId="736"/>
    <cellStyle name="Текст предупреждения 5 3" xfId="737"/>
    <cellStyle name="Текст предупреждения 5 4" xfId="738"/>
    <cellStyle name="Comma" xfId="739"/>
    <cellStyle name="Comma [0]" xfId="740"/>
    <cellStyle name="Хороший" xfId="741"/>
    <cellStyle name="Хороший 2" xfId="742"/>
    <cellStyle name="Хороший 2 2" xfId="743"/>
    <cellStyle name="Хороший 2 3" xfId="744"/>
    <cellStyle name="Хороший 2 4" xfId="745"/>
    <cellStyle name="Хороший 3" xfId="746"/>
    <cellStyle name="Хороший 3 2" xfId="747"/>
    <cellStyle name="Хороший 3 3" xfId="748"/>
    <cellStyle name="Хороший 3 4" xfId="749"/>
    <cellStyle name="Хороший 4" xfId="750"/>
    <cellStyle name="Хороший 4 2" xfId="751"/>
    <cellStyle name="Хороший 4 3" xfId="752"/>
    <cellStyle name="Хороший 4 4" xfId="753"/>
    <cellStyle name="Хороший 5" xfId="754"/>
    <cellStyle name="Хороший 5 2" xfId="755"/>
    <cellStyle name="Хороший 5 3" xfId="756"/>
    <cellStyle name="Хороший 5 4" xfId="7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P410"/>
  <sheetViews>
    <sheetView view="pageBreakPreview" zoomScale="75" zoomScaleNormal="70" zoomScaleSheetLayoutView="75" zoomScalePageLayoutView="0" workbookViewId="0" topLeftCell="A403">
      <selection activeCell="F4" sqref="F4:H4"/>
    </sheetView>
  </sheetViews>
  <sheetFormatPr defaultColWidth="9.140625" defaultRowHeight="15"/>
  <cols>
    <col min="1" max="1" width="13.00390625" style="21" customWidth="1"/>
    <col min="2" max="2" width="27.57421875" style="86" customWidth="1"/>
    <col min="3" max="3" width="55.8515625" style="86" customWidth="1"/>
    <col min="4" max="4" width="17.8515625" style="21" customWidth="1"/>
    <col min="5" max="5" width="10.140625" style="21" customWidth="1"/>
    <col min="6" max="6" width="16.140625" style="44" customWidth="1"/>
    <col min="7" max="7" width="15.28125" style="21" customWidth="1"/>
    <col min="8" max="8" width="16.00390625" style="21" customWidth="1"/>
    <col min="9" max="9" width="46.00390625" style="76" customWidth="1"/>
    <col min="10" max="10" width="9.57421875" style="21" bestFit="1" customWidth="1"/>
    <col min="11" max="16384" width="9.140625" style="21" customWidth="1"/>
  </cols>
  <sheetData>
    <row r="1" spans="2:8" s="33" customFormat="1" ht="24" customHeight="1">
      <c r="B1" s="34"/>
      <c r="C1" s="34"/>
      <c r="E1" s="35"/>
      <c r="F1" s="141" t="s">
        <v>146</v>
      </c>
      <c r="G1" s="141"/>
      <c r="H1" s="141"/>
    </row>
    <row r="2" spans="2:8" s="33" customFormat="1" ht="21" customHeight="1">
      <c r="B2" s="34"/>
      <c r="C2" s="34"/>
      <c r="E2" s="35"/>
      <c r="F2" s="142" t="s">
        <v>147</v>
      </c>
      <c r="G2" s="142"/>
      <c r="H2" s="142"/>
    </row>
    <row r="3" spans="2:8" s="33" customFormat="1" ht="24.75" customHeight="1">
      <c r="B3" s="34"/>
      <c r="C3" s="34"/>
      <c r="E3" s="35"/>
      <c r="F3" s="148" t="s">
        <v>79</v>
      </c>
      <c r="G3" s="143"/>
      <c r="H3" s="143"/>
    </row>
    <row r="4" spans="1:8" s="38" customFormat="1" ht="32.25" customHeight="1">
      <c r="A4" s="36"/>
      <c r="B4" s="37"/>
      <c r="D4" s="39"/>
      <c r="F4" s="106" t="s">
        <v>148</v>
      </c>
      <c r="G4" s="106"/>
      <c r="H4" s="106"/>
    </row>
    <row r="5" spans="1:8" s="38" customFormat="1" ht="27.75" customHeight="1">
      <c r="A5" s="36"/>
      <c r="B5" s="37"/>
      <c r="D5" s="39"/>
      <c r="F5" s="143" t="s">
        <v>165</v>
      </c>
      <c r="G5" s="143"/>
      <c r="H5" s="143"/>
    </row>
    <row r="6" spans="1:8" s="38" customFormat="1" ht="33" customHeight="1">
      <c r="A6" s="36"/>
      <c r="B6" s="37"/>
      <c r="D6" s="39"/>
      <c r="E6" s="40"/>
      <c r="F6" s="143"/>
      <c r="G6" s="143"/>
      <c r="H6" s="143"/>
    </row>
    <row r="7" spans="1:8" s="33" customFormat="1" ht="34.5" customHeight="1">
      <c r="A7" s="144" t="s">
        <v>160</v>
      </c>
      <c r="B7" s="144"/>
      <c r="C7" s="144"/>
      <c r="D7" s="144"/>
      <c r="E7" s="144"/>
      <c r="F7" s="144"/>
      <c r="G7" s="144"/>
      <c r="H7" s="144"/>
    </row>
    <row r="8" spans="1:8" s="33" customFormat="1" ht="30.75" customHeight="1">
      <c r="A8" s="41"/>
      <c r="B8" s="42"/>
      <c r="C8" s="41"/>
      <c r="D8" s="41"/>
      <c r="F8" s="43"/>
      <c r="G8" s="145" t="s">
        <v>149</v>
      </c>
      <c r="H8" s="145"/>
    </row>
    <row r="9" spans="1:8" s="33" customFormat="1" ht="40.5" customHeight="1">
      <c r="A9" s="144" t="s">
        <v>161</v>
      </c>
      <c r="B9" s="144"/>
      <c r="C9" s="144"/>
      <c r="D9" s="144"/>
      <c r="E9" s="144"/>
      <c r="F9" s="144"/>
      <c r="G9" s="144"/>
      <c r="H9" s="144"/>
    </row>
    <row r="10" spans="2:9" ht="19.5" customHeight="1" thickBot="1">
      <c r="B10" s="137"/>
      <c r="C10" s="137"/>
      <c r="E10" s="44"/>
      <c r="F10" s="21"/>
      <c r="G10" s="24" t="s">
        <v>150</v>
      </c>
      <c r="I10" s="21"/>
    </row>
    <row r="11" spans="1:9" ht="85.5" customHeight="1">
      <c r="A11" s="45" t="s">
        <v>151</v>
      </c>
      <c r="B11" s="46" t="s">
        <v>109</v>
      </c>
      <c r="C11" s="138" t="s">
        <v>152</v>
      </c>
      <c r="D11" s="138" t="s">
        <v>111</v>
      </c>
      <c r="E11" s="139" t="s">
        <v>153</v>
      </c>
      <c r="F11" s="138" t="s">
        <v>154</v>
      </c>
      <c r="G11" s="138" t="s">
        <v>159</v>
      </c>
      <c r="H11" s="135" t="s">
        <v>155</v>
      </c>
      <c r="I11" s="21"/>
    </row>
    <row r="12" spans="1:9" ht="91.5" customHeight="1" thickBot="1">
      <c r="A12" s="47" t="s">
        <v>156</v>
      </c>
      <c r="B12" s="16" t="s">
        <v>157</v>
      </c>
      <c r="C12" s="127"/>
      <c r="D12" s="127"/>
      <c r="E12" s="140"/>
      <c r="F12" s="127"/>
      <c r="G12" s="127"/>
      <c r="H12" s="123"/>
      <c r="I12" s="21"/>
    </row>
    <row r="13" spans="1:9" ht="15.75" customHeight="1" thickBot="1">
      <c r="A13" s="48">
        <v>1</v>
      </c>
      <c r="B13" s="25">
        <v>2</v>
      </c>
      <c r="C13" s="25">
        <v>3</v>
      </c>
      <c r="D13" s="25">
        <v>4</v>
      </c>
      <c r="E13" s="49">
        <v>5</v>
      </c>
      <c r="F13" s="25">
        <v>6</v>
      </c>
      <c r="G13" s="25">
        <v>7</v>
      </c>
      <c r="H13" s="50">
        <v>8</v>
      </c>
      <c r="I13" s="21"/>
    </row>
    <row r="14" spans="1:9" ht="23.25" customHeight="1">
      <c r="A14" s="51"/>
      <c r="B14" s="52"/>
      <c r="C14" s="17" t="s">
        <v>158</v>
      </c>
      <c r="D14" s="26">
        <f>SUM(D15+D377+D72+D20+D43+D64+D16+D371+D393+D408+D70+D405+D68)</f>
        <v>439940.12700000015</v>
      </c>
      <c r="E14" s="26"/>
      <c r="F14" s="26">
        <f>SUM(F15+F377+F72+F20+F43+F64+F16+F371+F393+F408+F70+F405+F68)</f>
        <v>363878.8374400001</v>
      </c>
      <c r="G14" s="26">
        <f>SUM(G15+G377+G72+G20+G43+G64+G16+G371+G393+G408+G70+G405+G68)</f>
        <v>143383.31500000012</v>
      </c>
      <c r="H14" s="53"/>
      <c r="I14" s="20"/>
    </row>
    <row r="15" spans="1:9" ht="53.25" customHeight="1">
      <c r="A15" s="54"/>
      <c r="B15" s="1"/>
      <c r="C15" s="1" t="s">
        <v>163</v>
      </c>
      <c r="D15" s="12">
        <v>25000</v>
      </c>
      <c r="E15" s="12"/>
      <c r="F15" s="12">
        <v>25000</v>
      </c>
      <c r="G15" s="12">
        <v>10000</v>
      </c>
      <c r="H15" s="3"/>
      <c r="I15" s="21"/>
    </row>
    <row r="16" spans="1:16" s="23" customFormat="1" ht="36" customHeight="1">
      <c r="A16" s="19" t="s">
        <v>168</v>
      </c>
      <c r="B16" s="1" t="s">
        <v>169</v>
      </c>
      <c r="C16" s="1"/>
      <c r="D16" s="12">
        <f>SUM(D17:D19)</f>
        <v>2498.718</v>
      </c>
      <c r="E16" s="12"/>
      <c r="F16" s="12">
        <f>SUM(F17:F19)</f>
        <v>2497.61832</v>
      </c>
      <c r="G16" s="12">
        <f>SUM(G17:G19)-G18</f>
        <v>2547.1890000000003</v>
      </c>
      <c r="H16" s="3"/>
      <c r="I16" s="20"/>
      <c r="J16" s="20"/>
      <c r="K16" s="20"/>
      <c r="L16" s="20"/>
      <c r="M16" s="20"/>
      <c r="N16" s="20"/>
      <c r="O16" s="21"/>
      <c r="P16" s="22"/>
    </row>
    <row r="17" spans="1:16" s="23" customFormat="1" ht="34.5" customHeight="1">
      <c r="A17" s="136">
        <v>150101</v>
      </c>
      <c r="B17" s="132" t="s">
        <v>112</v>
      </c>
      <c r="C17" s="1" t="s">
        <v>213</v>
      </c>
      <c r="D17" s="12">
        <v>2498.718</v>
      </c>
      <c r="E17" s="55">
        <f>100-(F17/D17)*100</f>
        <v>0.04400976820913627</v>
      </c>
      <c r="F17" s="12">
        <f>D17-1.09968</f>
        <v>2497.61832</v>
      </c>
      <c r="G17" s="12">
        <f>2155.588+338.049</f>
        <v>2493.637</v>
      </c>
      <c r="H17" s="56"/>
      <c r="I17" s="21"/>
      <c r="J17" s="21"/>
      <c r="K17" s="21"/>
      <c r="L17" s="21"/>
      <c r="M17" s="21"/>
      <c r="N17" s="21"/>
      <c r="P17" s="22"/>
    </row>
    <row r="18" spans="1:16" s="23" customFormat="1" ht="34.5" customHeight="1">
      <c r="A18" s="136"/>
      <c r="B18" s="132"/>
      <c r="C18" s="1" t="s">
        <v>257</v>
      </c>
      <c r="D18" s="12"/>
      <c r="E18" s="55"/>
      <c r="F18" s="12"/>
      <c r="G18" s="12">
        <v>338.049</v>
      </c>
      <c r="H18" s="56"/>
      <c r="I18" s="21"/>
      <c r="J18" s="21"/>
      <c r="K18" s="21"/>
      <c r="L18" s="21"/>
      <c r="M18" s="21"/>
      <c r="N18" s="21"/>
      <c r="P18" s="22"/>
    </row>
    <row r="19" spans="1:9" ht="200.25" customHeight="1">
      <c r="A19" s="57">
        <v>150107</v>
      </c>
      <c r="B19" s="58" t="s">
        <v>246</v>
      </c>
      <c r="C19" s="1" t="s">
        <v>259</v>
      </c>
      <c r="D19" s="12"/>
      <c r="E19" s="59"/>
      <c r="F19" s="12"/>
      <c r="G19" s="12">
        <v>53.552</v>
      </c>
      <c r="H19" s="56"/>
      <c r="I19" s="60"/>
    </row>
    <row r="20" spans="1:9" ht="75" customHeight="1">
      <c r="A20" s="54">
        <v>10</v>
      </c>
      <c r="B20" s="1" t="s">
        <v>122</v>
      </c>
      <c r="C20" s="29"/>
      <c r="D20" s="12">
        <f>SUM(D21:D42)</f>
        <v>66445.167</v>
      </c>
      <c r="E20" s="55"/>
      <c r="F20" s="12">
        <f>SUM(F21:F42)</f>
        <v>53567.344619999996</v>
      </c>
      <c r="G20" s="12">
        <f>SUM(G21:G42)-G22-G24-G29-G31-G34-G37-G39-G42-G26</f>
        <v>25382.22</v>
      </c>
      <c r="H20" s="56"/>
      <c r="I20" s="60"/>
    </row>
    <row r="21" spans="1:9" ht="39.75" customHeight="1">
      <c r="A21" s="131" t="s">
        <v>110</v>
      </c>
      <c r="B21" s="132" t="s">
        <v>112</v>
      </c>
      <c r="C21" s="4" t="s">
        <v>248</v>
      </c>
      <c r="D21" s="12">
        <v>6379.139</v>
      </c>
      <c r="E21" s="55">
        <f aca="true" t="shared" si="0" ref="E21:E41">100-(F21/D21)*100</f>
        <v>57.21118241819154</v>
      </c>
      <c r="F21" s="12">
        <f>D21-(1687.311+344.04021+44.9761+181.131+636.19824+755.9243)</f>
        <v>2729.5581500000003</v>
      </c>
      <c r="G21" s="12">
        <v>725.449</v>
      </c>
      <c r="H21" s="133" t="s">
        <v>166</v>
      </c>
      <c r="I21" s="60"/>
    </row>
    <row r="22" spans="1:16" s="23" customFormat="1" ht="34.5" customHeight="1">
      <c r="A22" s="131"/>
      <c r="B22" s="132"/>
      <c r="C22" s="1" t="s">
        <v>257</v>
      </c>
      <c r="D22" s="12"/>
      <c r="E22" s="55"/>
      <c r="F22" s="12"/>
      <c r="G22" s="12">
        <v>12.354</v>
      </c>
      <c r="H22" s="133"/>
      <c r="I22" s="21"/>
      <c r="J22" s="21"/>
      <c r="K22" s="21"/>
      <c r="L22" s="21"/>
      <c r="M22" s="21"/>
      <c r="N22" s="21"/>
      <c r="P22" s="22"/>
    </row>
    <row r="23" spans="1:9" ht="56.25" customHeight="1">
      <c r="A23" s="131" t="s">
        <v>110</v>
      </c>
      <c r="B23" s="132" t="s">
        <v>112</v>
      </c>
      <c r="C23" s="1" t="s">
        <v>107</v>
      </c>
      <c r="D23" s="12">
        <v>7632.826</v>
      </c>
      <c r="E23" s="55">
        <f t="shared" si="0"/>
        <v>16.721229725399226</v>
      </c>
      <c r="F23" s="12">
        <f>D23-(1069.7+206.46924+0.13313)</f>
        <v>6356.52363</v>
      </c>
      <c r="G23" s="12">
        <v>50</v>
      </c>
      <c r="H23" s="133" t="s">
        <v>166</v>
      </c>
      <c r="I23" s="60"/>
    </row>
    <row r="24" spans="1:16" s="23" customFormat="1" ht="36" customHeight="1">
      <c r="A24" s="131"/>
      <c r="B24" s="132"/>
      <c r="C24" s="1" t="s">
        <v>257</v>
      </c>
      <c r="D24" s="12"/>
      <c r="E24" s="55"/>
      <c r="F24" s="12"/>
      <c r="G24" s="12">
        <v>4.796</v>
      </c>
      <c r="H24" s="133"/>
      <c r="I24" s="21"/>
      <c r="J24" s="21"/>
      <c r="K24" s="21"/>
      <c r="L24" s="21"/>
      <c r="M24" s="21"/>
      <c r="N24" s="21"/>
      <c r="P24" s="22"/>
    </row>
    <row r="25" spans="1:9" ht="78" customHeight="1">
      <c r="A25" s="125" t="s">
        <v>110</v>
      </c>
      <c r="B25" s="127" t="s">
        <v>112</v>
      </c>
      <c r="C25" s="4" t="s">
        <v>62</v>
      </c>
      <c r="D25" s="12">
        <v>3519.492</v>
      </c>
      <c r="E25" s="55">
        <f t="shared" si="0"/>
        <v>38.6008406895086</v>
      </c>
      <c r="F25" s="12">
        <f>D25-(749.9996+98.7815+273.5188+182.1816+54.072)</f>
        <v>2160.9385</v>
      </c>
      <c r="G25" s="12">
        <v>1630.816</v>
      </c>
      <c r="H25" s="123"/>
      <c r="I25" s="60"/>
    </row>
    <row r="26" spans="1:16" s="23" customFormat="1" ht="36" customHeight="1">
      <c r="A26" s="126"/>
      <c r="B26" s="128"/>
      <c r="C26" s="1" t="s">
        <v>257</v>
      </c>
      <c r="D26" s="12"/>
      <c r="E26" s="55"/>
      <c r="F26" s="12"/>
      <c r="G26" s="12">
        <v>130.816</v>
      </c>
      <c r="H26" s="124"/>
      <c r="I26" s="21"/>
      <c r="J26" s="21"/>
      <c r="K26" s="21"/>
      <c r="L26" s="21"/>
      <c r="M26" s="21"/>
      <c r="N26" s="21"/>
      <c r="P26" s="22"/>
    </row>
    <row r="27" spans="1:9" ht="94.5" customHeight="1">
      <c r="A27" s="2" t="s">
        <v>110</v>
      </c>
      <c r="B27" s="1" t="s">
        <v>112</v>
      </c>
      <c r="C27" s="1" t="s">
        <v>228</v>
      </c>
      <c r="D27" s="12">
        <v>650</v>
      </c>
      <c r="E27" s="55">
        <f t="shared" si="0"/>
        <v>0</v>
      </c>
      <c r="F27" s="12">
        <f>D27</f>
        <v>650</v>
      </c>
      <c r="G27" s="12">
        <v>250</v>
      </c>
      <c r="H27" s="56" t="s">
        <v>166</v>
      </c>
      <c r="I27" s="60"/>
    </row>
    <row r="28" spans="1:9" ht="74.25" customHeight="1">
      <c r="A28" s="131" t="s">
        <v>110</v>
      </c>
      <c r="B28" s="132" t="s">
        <v>112</v>
      </c>
      <c r="C28" s="4" t="s">
        <v>129</v>
      </c>
      <c r="D28" s="12">
        <v>1002.696</v>
      </c>
      <c r="E28" s="55">
        <f t="shared" si="0"/>
        <v>54.72243232245865</v>
      </c>
      <c r="F28" s="12">
        <f>D28-(21.29719+527.40245)</f>
        <v>453.99636</v>
      </c>
      <c r="G28" s="12">
        <v>453.996</v>
      </c>
      <c r="H28" s="133" t="s">
        <v>166</v>
      </c>
      <c r="I28" s="60"/>
    </row>
    <row r="29" spans="1:16" s="23" customFormat="1" ht="36.75" customHeight="1">
      <c r="A29" s="131"/>
      <c r="B29" s="132"/>
      <c r="C29" s="1" t="s">
        <v>257</v>
      </c>
      <c r="D29" s="12"/>
      <c r="E29" s="55"/>
      <c r="F29" s="12"/>
      <c r="G29" s="12">
        <v>133.606</v>
      </c>
      <c r="H29" s="133"/>
      <c r="I29" s="21"/>
      <c r="J29" s="21"/>
      <c r="K29" s="21"/>
      <c r="L29" s="21"/>
      <c r="M29" s="21"/>
      <c r="N29" s="21"/>
      <c r="P29" s="22"/>
    </row>
    <row r="30" spans="1:9" ht="72" customHeight="1">
      <c r="A30" s="131" t="s">
        <v>110</v>
      </c>
      <c r="B30" s="132" t="s">
        <v>112</v>
      </c>
      <c r="C30" s="1" t="s">
        <v>119</v>
      </c>
      <c r="D30" s="12">
        <v>15889.351</v>
      </c>
      <c r="E30" s="55">
        <f t="shared" si="0"/>
        <v>16.109992031770204</v>
      </c>
      <c r="F30" s="12">
        <f>D30-(202.12564+117.93706+2239.71048)</f>
        <v>13329.57782</v>
      </c>
      <c r="G30" s="12">
        <v>13329.578</v>
      </c>
      <c r="H30" s="133" t="s">
        <v>166</v>
      </c>
      <c r="I30" s="60"/>
    </row>
    <row r="31" spans="1:16" s="23" customFormat="1" ht="33.75" customHeight="1">
      <c r="A31" s="131"/>
      <c r="B31" s="132"/>
      <c r="C31" s="1" t="s">
        <v>257</v>
      </c>
      <c r="D31" s="12"/>
      <c r="E31" s="55"/>
      <c r="F31" s="12"/>
      <c r="G31" s="12">
        <v>87.775</v>
      </c>
      <c r="H31" s="133"/>
      <c r="I31" s="21"/>
      <c r="J31" s="21"/>
      <c r="K31" s="21"/>
      <c r="L31" s="21"/>
      <c r="M31" s="21"/>
      <c r="N31" s="21"/>
      <c r="P31" s="22"/>
    </row>
    <row r="32" spans="1:9" ht="80.25" customHeight="1">
      <c r="A32" s="2" t="s">
        <v>110</v>
      </c>
      <c r="B32" s="1" t="s">
        <v>112</v>
      </c>
      <c r="C32" s="1" t="s">
        <v>120</v>
      </c>
      <c r="D32" s="12">
        <v>4860</v>
      </c>
      <c r="E32" s="55">
        <f t="shared" si="0"/>
        <v>0</v>
      </c>
      <c r="F32" s="12">
        <f>D32</f>
        <v>4860</v>
      </c>
      <c r="G32" s="12">
        <v>4301.039</v>
      </c>
      <c r="H32" s="56" t="s">
        <v>166</v>
      </c>
      <c r="I32" s="60"/>
    </row>
    <row r="33" spans="1:9" ht="76.5" customHeight="1">
      <c r="A33" s="131" t="s">
        <v>110</v>
      </c>
      <c r="B33" s="132" t="s">
        <v>112</v>
      </c>
      <c r="C33" s="4" t="s">
        <v>121</v>
      </c>
      <c r="D33" s="12">
        <v>14127</v>
      </c>
      <c r="E33" s="55">
        <f t="shared" si="0"/>
        <v>2.1235907128194214</v>
      </c>
      <c r="F33" s="12">
        <f>D33-(285.87266+14.127)</f>
        <v>13827.00034</v>
      </c>
      <c r="G33" s="12">
        <v>50</v>
      </c>
      <c r="H33" s="133" t="s">
        <v>166</v>
      </c>
      <c r="I33" s="60"/>
    </row>
    <row r="34" spans="1:16" s="23" customFormat="1" ht="36.75" customHeight="1">
      <c r="A34" s="131"/>
      <c r="B34" s="132"/>
      <c r="C34" s="1" t="s">
        <v>257</v>
      </c>
      <c r="D34" s="12"/>
      <c r="E34" s="55"/>
      <c r="F34" s="12"/>
      <c r="G34" s="12">
        <v>20.684</v>
      </c>
      <c r="H34" s="133"/>
      <c r="I34" s="21"/>
      <c r="J34" s="21"/>
      <c r="K34" s="21"/>
      <c r="L34" s="21"/>
      <c r="M34" s="21"/>
      <c r="N34" s="21"/>
      <c r="P34" s="22"/>
    </row>
    <row r="35" spans="1:9" ht="57.75" customHeight="1">
      <c r="A35" s="2" t="s">
        <v>110</v>
      </c>
      <c r="B35" s="1" t="s">
        <v>112</v>
      </c>
      <c r="C35" s="1" t="s">
        <v>135</v>
      </c>
      <c r="D35" s="12">
        <v>600</v>
      </c>
      <c r="E35" s="55">
        <f t="shared" si="0"/>
        <v>50</v>
      </c>
      <c r="F35" s="12">
        <f>D35-300</f>
        <v>300</v>
      </c>
      <c r="G35" s="12">
        <v>300</v>
      </c>
      <c r="H35" s="56" t="s">
        <v>166</v>
      </c>
      <c r="I35" s="60"/>
    </row>
    <row r="36" spans="1:9" ht="57.75" customHeight="1">
      <c r="A36" s="131" t="s">
        <v>110</v>
      </c>
      <c r="B36" s="132" t="s">
        <v>112</v>
      </c>
      <c r="C36" s="1" t="s">
        <v>226</v>
      </c>
      <c r="D36" s="12">
        <v>6145.63</v>
      </c>
      <c r="E36" s="55">
        <f t="shared" si="0"/>
        <v>0</v>
      </c>
      <c r="F36" s="12">
        <f>SUM(D36)</f>
        <v>6145.63</v>
      </c>
      <c r="G36" s="12">
        <v>1665.172</v>
      </c>
      <c r="H36" s="133" t="s">
        <v>166</v>
      </c>
      <c r="I36" s="60"/>
    </row>
    <row r="37" spans="1:16" s="23" customFormat="1" ht="35.25" customHeight="1">
      <c r="A37" s="131"/>
      <c r="B37" s="132"/>
      <c r="C37" s="1" t="s">
        <v>257</v>
      </c>
      <c r="D37" s="12"/>
      <c r="E37" s="55"/>
      <c r="F37" s="12"/>
      <c r="G37" s="12">
        <v>105.172</v>
      </c>
      <c r="H37" s="133"/>
      <c r="I37" s="21"/>
      <c r="J37" s="21"/>
      <c r="K37" s="21"/>
      <c r="L37" s="21"/>
      <c r="M37" s="21"/>
      <c r="N37" s="21"/>
      <c r="P37" s="22"/>
    </row>
    <row r="38" spans="1:9" ht="75.75" customHeight="1">
      <c r="A38" s="131" t="s">
        <v>110</v>
      </c>
      <c r="B38" s="132" t="s">
        <v>112</v>
      </c>
      <c r="C38" s="1" t="s">
        <v>214</v>
      </c>
      <c r="D38" s="12">
        <v>1000</v>
      </c>
      <c r="E38" s="55">
        <f t="shared" si="0"/>
        <v>0</v>
      </c>
      <c r="F38" s="12">
        <f>SUM(D38)</f>
        <v>1000</v>
      </c>
      <c r="G38" s="12">
        <v>1000</v>
      </c>
      <c r="H38" s="133" t="s">
        <v>166</v>
      </c>
      <c r="I38" s="60"/>
    </row>
    <row r="39" spans="1:16" s="23" customFormat="1" ht="35.25" customHeight="1">
      <c r="A39" s="131"/>
      <c r="B39" s="132"/>
      <c r="C39" s="1" t="s">
        <v>257</v>
      </c>
      <c r="D39" s="12"/>
      <c r="E39" s="55"/>
      <c r="F39" s="12"/>
      <c r="G39" s="12">
        <v>181.427</v>
      </c>
      <c r="H39" s="133"/>
      <c r="I39" s="21"/>
      <c r="J39" s="21"/>
      <c r="K39" s="21"/>
      <c r="L39" s="21"/>
      <c r="M39" s="21"/>
      <c r="N39" s="21"/>
      <c r="P39" s="22"/>
    </row>
    <row r="40" spans="1:9" ht="97.5" customHeight="1">
      <c r="A40" s="2" t="s">
        <v>110</v>
      </c>
      <c r="B40" s="1" t="s">
        <v>112</v>
      </c>
      <c r="C40" s="1" t="s">
        <v>260</v>
      </c>
      <c r="D40" s="12">
        <v>2105.695</v>
      </c>
      <c r="E40" s="55">
        <f t="shared" si="0"/>
        <v>92.30915683420437</v>
      </c>
      <c r="F40" s="12">
        <f>D40-158.60085-1785.14845</f>
        <v>161.94570000000022</v>
      </c>
      <c r="G40" s="12">
        <v>33.996</v>
      </c>
      <c r="H40" s="56" t="s">
        <v>166</v>
      </c>
      <c r="I40" s="60"/>
    </row>
    <row r="41" spans="1:9" ht="37.5" customHeight="1">
      <c r="A41" s="131" t="s">
        <v>110</v>
      </c>
      <c r="B41" s="132" t="s">
        <v>112</v>
      </c>
      <c r="C41" s="1" t="s">
        <v>294</v>
      </c>
      <c r="D41" s="12">
        <v>2533.338</v>
      </c>
      <c r="E41" s="55">
        <f t="shared" si="0"/>
        <v>37.15113735316803</v>
      </c>
      <c r="F41" s="12">
        <f>SUM(D41-941.16388)</f>
        <v>1592.1741200000001</v>
      </c>
      <c r="G41" s="12">
        <v>1592.174</v>
      </c>
      <c r="H41" s="133" t="s">
        <v>166</v>
      </c>
      <c r="I41" s="60"/>
    </row>
    <row r="42" spans="1:16" s="23" customFormat="1" ht="34.5" customHeight="1">
      <c r="A42" s="131"/>
      <c r="B42" s="132"/>
      <c r="C42" s="1" t="s">
        <v>257</v>
      </c>
      <c r="D42" s="12"/>
      <c r="E42" s="55"/>
      <c r="F42" s="12"/>
      <c r="G42" s="12">
        <v>474.681</v>
      </c>
      <c r="H42" s="133"/>
      <c r="I42" s="21"/>
      <c r="J42" s="21"/>
      <c r="K42" s="21"/>
      <c r="L42" s="21"/>
      <c r="M42" s="21"/>
      <c r="N42" s="21"/>
      <c r="P42" s="22"/>
    </row>
    <row r="43" spans="1:9" ht="78" customHeight="1">
      <c r="A43" s="54">
        <v>14</v>
      </c>
      <c r="B43" s="1" t="s">
        <v>123</v>
      </c>
      <c r="C43" s="29"/>
      <c r="D43" s="12">
        <f>SUM(D44:D63)</f>
        <v>43265.528999999995</v>
      </c>
      <c r="E43" s="55"/>
      <c r="F43" s="12">
        <f>SUM(F44:F63)</f>
        <v>25453.878380000002</v>
      </c>
      <c r="G43" s="12">
        <f>SUM(G44:G63)-G45-G62-G48-G51-G58-G53</f>
        <v>9650.511999999999</v>
      </c>
      <c r="H43" s="56"/>
      <c r="I43" s="60"/>
    </row>
    <row r="44" spans="1:9" ht="77.25" customHeight="1">
      <c r="A44" s="131" t="s">
        <v>110</v>
      </c>
      <c r="B44" s="132" t="s">
        <v>112</v>
      </c>
      <c r="C44" s="61" t="s">
        <v>118</v>
      </c>
      <c r="D44" s="12">
        <v>8930.226</v>
      </c>
      <c r="E44" s="55">
        <f aca="true" t="shared" si="1" ref="E44:E61">100-(F44/D44)*100</f>
        <v>16.202676841549135</v>
      </c>
      <c r="F44" s="12">
        <f>D44-(5.555+683.13948+758.24118)</f>
        <v>7483.2903400000005</v>
      </c>
      <c r="G44" s="12">
        <v>3651.111</v>
      </c>
      <c r="H44" s="133" t="s">
        <v>166</v>
      </c>
      <c r="I44" s="60"/>
    </row>
    <row r="45" spans="1:16" s="23" customFormat="1" ht="36.75" customHeight="1">
      <c r="A45" s="131"/>
      <c r="B45" s="132"/>
      <c r="C45" s="1" t="s">
        <v>257</v>
      </c>
      <c r="D45" s="12"/>
      <c r="E45" s="55"/>
      <c r="F45" s="12"/>
      <c r="G45" s="12">
        <v>1152.941</v>
      </c>
      <c r="H45" s="133"/>
      <c r="I45" s="21"/>
      <c r="J45" s="21"/>
      <c r="K45" s="21"/>
      <c r="L45" s="21"/>
      <c r="M45" s="21"/>
      <c r="N45" s="21"/>
      <c r="P45" s="22"/>
    </row>
    <row r="46" spans="1:10" ht="111.75" customHeight="1">
      <c r="A46" s="2" t="s">
        <v>110</v>
      </c>
      <c r="B46" s="1" t="s">
        <v>112</v>
      </c>
      <c r="C46" s="62" t="s">
        <v>261</v>
      </c>
      <c r="D46" s="12">
        <v>7053.562</v>
      </c>
      <c r="E46" s="55">
        <f t="shared" si="1"/>
        <v>62.832233841568275</v>
      </c>
      <c r="F46" s="12">
        <f>D46-(1131.01602+23.73674+2.4632+1732.00326+753.14493+789.54642)</f>
        <v>2621.65143</v>
      </c>
      <c r="G46" s="12">
        <v>17.04</v>
      </c>
      <c r="H46" s="56" t="s">
        <v>166</v>
      </c>
      <c r="I46" s="60"/>
      <c r="J46" s="20"/>
    </row>
    <row r="47" spans="1:9" ht="93.75" customHeight="1">
      <c r="A47" s="131" t="s">
        <v>110</v>
      </c>
      <c r="B47" s="132" t="s">
        <v>112</v>
      </c>
      <c r="C47" s="62" t="s">
        <v>448</v>
      </c>
      <c r="D47" s="12">
        <v>1048.962</v>
      </c>
      <c r="E47" s="55">
        <f t="shared" si="1"/>
        <v>74.16855901357724</v>
      </c>
      <c r="F47" s="12">
        <v>270.962</v>
      </c>
      <c r="G47" s="12">
        <v>251.714</v>
      </c>
      <c r="H47" s="133" t="s">
        <v>166</v>
      </c>
      <c r="I47" s="60"/>
    </row>
    <row r="48" spans="1:16" s="23" customFormat="1" ht="37.5" customHeight="1">
      <c r="A48" s="131"/>
      <c r="B48" s="132"/>
      <c r="C48" s="1" t="s">
        <v>257</v>
      </c>
      <c r="D48" s="12"/>
      <c r="E48" s="55"/>
      <c r="F48" s="12"/>
      <c r="G48" s="12">
        <v>1.714</v>
      </c>
      <c r="H48" s="133"/>
      <c r="I48" s="21"/>
      <c r="J48" s="21"/>
      <c r="K48" s="21"/>
      <c r="L48" s="21"/>
      <c r="M48" s="21"/>
      <c r="N48" s="21"/>
      <c r="P48" s="22"/>
    </row>
    <row r="49" spans="1:9" ht="112.5" customHeight="1">
      <c r="A49" s="2" t="s">
        <v>110</v>
      </c>
      <c r="B49" s="1" t="s">
        <v>112</v>
      </c>
      <c r="C49" s="63" t="s">
        <v>262</v>
      </c>
      <c r="D49" s="12">
        <v>350</v>
      </c>
      <c r="E49" s="55">
        <f t="shared" si="1"/>
        <v>0</v>
      </c>
      <c r="F49" s="12">
        <f>SUM(D49-0)</f>
        <v>350</v>
      </c>
      <c r="G49" s="12">
        <v>89.114</v>
      </c>
      <c r="H49" s="56" t="s">
        <v>166</v>
      </c>
      <c r="I49" s="60"/>
    </row>
    <row r="50" spans="1:9" ht="93" customHeight="1">
      <c r="A50" s="131" t="s">
        <v>110</v>
      </c>
      <c r="B50" s="132" t="s">
        <v>112</v>
      </c>
      <c r="C50" s="62" t="s">
        <v>295</v>
      </c>
      <c r="D50" s="12">
        <v>3575.299</v>
      </c>
      <c r="E50" s="55">
        <f t="shared" si="1"/>
        <v>4.7160995485971995</v>
      </c>
      <c r="F50" s="12">
        <f>D50-(30.1488+136.05183+2.41403)</f>
        <v>3406.68434</v>
      </c>
      <c r="G50" s="12">
        <v>1503.475</v>
      </c>
      <c r="H50" s="133" t="s">
        <v>166</v>
      </c>
      <c r="I50" s="60"/>
    </row>
    <row r="51" spans="1:16" s="23" customFormat="1" ht="36" customHeight="1">
      <c r="A51" s="131"/>
      <c r="B51" s="132"/>
      <c r="C51" s="1" t="s">
        <v>257</v>
      </c>
      <c r="D51" s="12"/>
      <c r="E51" s="55"/>
      <c r="F51" s="12"/>
      <c r="G51" s="12">
        <v>3.475</v>
      </c>
      <c r="H51" s="133"/>
      <c r="I51" s="21"/>
      <c r="J51" s="21"/>
      <c r="K51" s="21"/>
      <c r="L51" s="21"/>
      <c r="M51" s="21"/>
      <c r="N51" s="21"/>
      <c r="P51" s="22"/>
    </row>
    <row r="52" spans="1:9" ht="78" customHeight="1">
      <c r="A52" s="131" t="s">
        <v>110</v>
      </c>
      <c r="B52" s="132" t="s">
        <v>112</v>
      </c>
      <c r="C52" s="61" t="s">
        <v>335</v>
      </c>
      <c r="D52" s="64">
        <v>5540.75</v>
      </c>
      <c r="E52" s="55">
        <f t="shared" si="1"/>
        <v>82.35426269006904</v>
      </c>
      <c r="F52" s="12">
        <f>D52-3400.219-1162.82481</f>
        <v>977.7061899999999</v>
      </c>
      <c r="G52" s="12">
        <v>914.777</v>
      </c>
      <c r="H52" s="56" t="s">
        <v>166</v>
      </c>
      <c r="I52" s="60"/>
    </row>
    <row r="53" spans="1:16" s="23" customFormat="1" ht="35.25" customHeight="1">
      <c r="A53" s="131"/>
      <c r="B53" s="132"/>
      <c r="C53" s="1" t="s">
        <v>257</v>
      </c>
      <c r="D53" s="12"/>
      <c r="E53" s="55"/>
      <c r="F53" s="12"/>
      <c r="G53" s="12">
        <v>102.55</v>
      </c>
      <c r="H53" s="56"/>
      <c r="I53" s="21"/>
      <c r="J53" s="21"/>
      <c r="K53" s="21"/>
      <c r="L53" s="21"/>
      <c r="M53" s="21"/>
      <c r="N53" s="21"/>
      <c r="P53" s="22"/>
    </row>
    <row r="54" spans="1:9" ht="80.25" customHeight="1">
      <c r="A54" s="2" t="s">
        <v>110</v>
      </c>
      <c r="B54" s="1" t="s">
        <v>112</v>
      </c>
      <c r="C54" s="65" t="s">
        <v>263</v>
      </c>
      <c r="D54" s="12">
        <v>1100</v>
      </c>
      <c r="E54" s="55">
        <f t="shared" si="1"/>
        <v>11.815630909090913</v>
      </c>
      <c r="F54" s="12">
        <f>SUM(D54-129.97194)</f>
        <v>970.02806</v>
      </c>
      <c r="G54" s="12">
        <v>58.765</v>
      </c>
      <c r="H54" s="56" t="s">
        <v>166</v>
      </c>
      <c r="I54" s="60"/>
    </row>
    <row r="55" spans="1:9" ht="79.5" customHeight="1">
      <c r="A55" s="2" t="s">
        <v>110</v>
      </c>
      <c r="B55" s="1" t="s">
        <v>112</v>
      </c>
      <c r="C55" s="65" t="s">
        <v>264</v>
      </c>
      <c r="D55" s="12">
        <v>1200</v>
      </c>
      <c r="E55" s="55">
        <f t="shared" si="1"/>
        <v>11.818135000000012</v>
      </c>
      <c r="F55" s="12">
        <f>SUM(D55-141.81762)</f>
        <v>1058.18238</v>
      </c>
      <c r="G55" s="12">
        <v>58.183</v>
      </c>
      <c r="H55" s="56" t="s">
        <v>166</v>
      </c>
      <c r="I55" s="60"/>
    </row>
    <row r="56" spans="1:9" ht="94.5" customHeight="1">
      <c r="A56" s="2" t="s">
        <v>110</v>
      </c>
      <c r="B56" s="1" t="s">
        <v>112</v>
      </c>
      <c r="C56" s="65" t="s">
        <v>265</v>
      </c>
      <c r="D56" s="12">
        <v>1100</v>
      </c>
      <c r="E56" s="55">
        <f t="shared" si="1"/>
        <v>9.130952727272728</v>
      </c>
      <c r="F56" s="12">
        <f>SUM(D56-100.44048)</f>
        <v>999.55952</v>
      </c>
      <c r="G56" s="12">
        <v>45.634</v>
      </c>
      <c r="H56" s="56" t="s">
        <v>166</v>
      </c>
      <c r="I56" s="60"/>
    </row>
    <row r="57" spans="1:9" ht="54" customHeight="1">
      <c r="A57" s="131" t="s">
        <v>110</v>
      </c>
      <c r="B57" s="132" t="s">
        <v>112</v>
      </c>
      <c r="C57" s="62" t="s">
        <v>325</v>
      </c>
      <c r="D57" s="12">
        <f>300+20.647</f>
        <v>320.647</v>
      </c>
      <c r="E57" s="55">
        <f t="shared" si="1"/>
        <v>9.608697414914218</v>
      </c>
      <c r="F57" s="12">
        <f>SUM(D57-30.81)</f>
        <v>289.837</v>
      </c>
      <c r="G57" s="12">
        <v>289.837</v>
      </c>
      <c r="H57" s="133" t="s">
        <v>166</v>
      </c>
      <c r="I57" s="60"/>
    </row>
    <row r="58" spans="1:16" s="23" customFormat="1" ht="39" customHeight="1">
      <c r="A58" s="131"/>
      <c r="B58" s="132"/>
      <c r="C58" s="1" t="s">
        <v>257</v>
      </c>
      <c r="D58" s="12"/>
      <c r="E58" s="55"/>
      <c r="F58" s="12"/>
      <c r="G58" s="12">
        <v>99.822</v>
      </c>
      <c r="H58" s="133"/>
      <c r="I58" s="21"/>
      <c r="J58" s="21"/>
      <c r="K58" s="21"/>
      <c r="L58" s="21"/>
      <c r="M58" s="21"/>
      <c r="N58" s="21"/>
      <c r="P58" s="22"/>
    </row>
    <row r="59" spans="1:9" ht="81.75" customHeight="1">
      <c r="A59" s="2" t="s">
        <v>110</v>
      </c>
      <c r="B59" s="1" t="s">
        <v>112</v>
      </c>
      <c r="C59" s="65" t="s">
        <v>326</v>
      </c>
      <c r="D59" s="12">
        <v>3417</v>
      </c>
      <c r="E59" s="55">
        <f t="shared" si="1"/>
        <v>0.024883523558671072</v>
      </c>
      <c r="F59" s="12">
        <f>D59-0.85027</f>
        <v>3416.14973</v>
      </c>
      <c r="G59" s="12">
        <v>176.132</v>
      </c>
      <c r="H59" s="56" t="s">
        <v>166</v>
      </c>
      <c r="I59" s="60"/>
    </row>
    <row r="60" spans="1:9" ht="78.75" customHeight="1">
      <c r="A60" s="54">
        <v>150101</v>
      </c>
      <c r="B60" s="1" t="s">
        <v>112</v>
      </c>
      <c r="C60" s="1" t="s">
        <v>61</v>
      </c>
      <c r="D60" s="12">
        <v>300</v>
      </c>
      <c r="E60" s="55">
        <f t="shared" si="1"/>
        <v>0</v>
      </c>
      <c r="F60" s="12">
        <f>SUM(D60)</f>
        <v>300</v>
      </c>
      <c r="G60" s="12">
        <v>300</v>
      </c>
      <c r="H60" s="56" t="s">
        <v>166</v>
      </c>
      <c r="I60" s="60"/>
    </row>
    <row r="61" spans="1:9" ht="73.5" customHeight="1">
      <c r="A61" s="131" t="s">
        <v>110</v>
      </c>
      <c r="B61" s="132" t="s">
        <v>112</v>
      </c>
      <c r="C61" s="62" t="s">
        <v>227</v>
      </c>
      <c r="D61" s="12">
        <v>8379.083</v>
      </c>
      <c r="E61" s="55">
        <f t="shared" si="1"/>
        <v>71.83668678302864</v>
      </c>
      <c r="F61" s="12">
        <f>D61-(1388.68+1250+594.39965+183.85879+1020+1166.7+415.61717)</f>
        <v>2359.8273900000004</v>
      </c>
      <c r="G61" s="12">
        <v>1344.73</v>
      </c>
      <c r="H61" s="133" t="s">
        <v>166</v>
      </c>
      <c r="I61" s="60"/>
    </row>
    <row r="62" spans="1:16" s="23" customFormat="1" ht="39" customHeight="1">
      <c r="A62" s="131"/>
      <c r="B62" s="132"/>
      <c r="C62" s="1" t="s">
        <v>257</v>
      </c>
      <c r="D62" s="12"/>
      <c r="E62" s="55"/>
      <c r="F62" s="12"/>
      <c r="G62" s="12">
        <v>44.73</v>
      </c>
      <c r="H62" s="133"/>
      <c r="I62" s="21"/>
      <c r="J62" s="21"/>
      <c r="K62" s="21"/>
      <c r="L62" s="21"/>
      <c r="M62" s="21"/>
      <c r="N62" s="21"/>
      <c r="P62" s="22"/>
    </row>
    <row r="63" spans="1:16" s="23" customFormat="1" ht="57" customHeight="1">
      <c r="A63" s="2" t="s">
        <v>110</v>
      </c>
      <c r="B63" s="1" t="s">
        <v>112</v>
      </c>
      <c r="C63" s="65" t="s">
        <v>321</v>
      </c>
      <c r="D63" s="12">
        <v>950</v>
      </c>
      <c r="E63" s="55">
        <f>100-(F63/D63)*100</f>
        <v>0</v>
      </c>
      <c r="F63" s="12">
        <f>D63</f>
        <v>950</v>
      </c>
      <c r="G63" s="12">
        <v>950</v>
      </c>
      <c r="H63" s="56" t="s">
        <v>166</v>
      </c>
      <c r="I63" s="21"/>
      <c r="J63" s="21"/>
      <c r="K63" s="21"/>
      <c r="L63" s="21"/>
      <c r="M63" s="21"/>
      <c r="N63" s="21"/>
      <c r="P63" s="22"/>
    </row>
    <row r="64" spans="1:9" ht="76.5" customHeight="1">
      <c r="A64" s="54">
        <v>15</v>
      </c>
      <c r="B64" s="1" t="s">
        <v>124</v>
      </c>
      <c r="C64" s="29"/>
      <c r="D64" s="12">
        <f>SUM(D65:D67)</f>
        <v>15066.428999999998</v>
      </c>
      <c r="E64" s="55"/>
      <c r="F64" s="12">
        <f>SUM(F65:F67)</f>
        <v>9735.28965</v>
      </c>
      <c r="G64" s="12">
        <f>SUM(G65:G67)</f>
        <v>7381.983</v>
      </c>
      <c r="H64" s="56"/>
      <c r="I64" s="60"/>
    </row>
    <row r="65" spans="1:9" ht="56.25" customHeight="1">
      <c r="A65" s="2" t="s">
        <v>110</v>
      </c>
      <c r="B65" s="1" t="s">
        <v>112</v>
      </c>
      <c r="C65" s="4" t="s">
        <v>215</v>
      </c>
      <c r="D65" s="12">
        <v>5986</v>
      </c>
      <c r="E65" s="55">
        <f>100-(F65/D65)*100</f>
        <v>2.3619413631807475</v>
      </c>
      <c r="F65" s="12">
        <f>D65-141.38581</f>
        <v>5844.61419</v>
      </c>
      <c r="G65" s="12">
        <v>5844.614</v>
      </c>
      <c r="H65" s="56" t="s">
        <v>166</v>
      </c>
      <c r="I65" s="60"/>
    </row>
    <row r="66" spans="1:9" ht="111.75" customHeight="1">
      <c r="A66" s="2" t="s">
        <v>110</v>
      </c>
      <c r="B66" s="1" t="s">
        <v>112</v>
      </c>
      <c r="C66" s="1" t="s">
        <v>266</v>
      </c>
      <c r="D66" s="12">
        <v>5314.369</v>
      </c>
      <c r="E66" s="55">
        <f>100-(F66/D66)*100</f>
        <v>42.839537299724576</v>
      </c>
      <c r="F66" s="12">
        <f>4771.974-1734.25609</f>
        <v>3037.7179100000003</v>
      </c>
      <c r="G66" s="12">
        <v>684.413</v>
      </c>
      <c r="H66" s="56" t="s">
        <v>166</v>
      </c>
      <c r="I66" s="60"/>
    </row>
    <row r="67" spans="1:9" ht="74.25" customHeight="1">
      <c r="A67" s="2" t="s">
        <v>110</v>
      </c>
      <c r="B67" s="1" t="s">
        <v>112</v>
      </c>
      <c r="C67" s="1" t="s">
        <v>267</v>
      </c>
      <c r="D67" s="12">
        <v>3766.06</v>
      </c>
      <c r="E67" s="55">
        <f>100-(F67/D67)*100</f>
        <v>77.35146147432594</v>
      </c>
      <c r="F67" s="12">
        <f>D67-878.841-259.25251-1775.00894</f>
        <v>852.9575500000003</v>
      </c>
      <c r="G67" s="12">
        <v>852.956</v>
      </c>
      <c r="H67" s="56"/>
      <c r="I67" s="60"/>
    </row>
    <row r="68" spans="1:9" ht="55.5" customHeight="1">
      <c r="A68" s="54">
        <v>24</v>
      </c>
      <c r="B68" s="1" t="s">
        <v>191</v>
      </c>
      <c r="C68" s="1"/>
      <c r="D68" s="12">
        <f>SUM(D69)</f>
        <v>206.754</v>
      </c>
      <c r="E68" s="55"/>
      <c r="F68" s="12">
        <f>SUM(F69)</f>
        <v>194.934</v>
      </c>
      <c r="G68" s="12">
        <f>SUM(G69)</f>
        <v>194.934</v>
      </c>
      <c r="H68" s="56"/>
      <c r="I68" s="60"/>
    </row>
    <row r="69" spans="1:9" ht="75" customHeight="1">
      <c r="A69" s="2" t="s">
        <v>110</v>
      </c>
      <c r="B69" s="1" t="s">
        <v>112</v>
      </c>
      <c r="C69" s="1" t="s">
        <v>322</v>
      </c>
      <c r="D69" s="12">
        <v>206.754</v>
      </c>
      <c r="E69" s="55">
        <f>100-(F69/D69)*100</f>
        <v>5.716938970950977</v>
      </c>
      <c r="F69" s="12">
        <v>194.934</v>
      </c>
      <c r="G69" s="12">
        <v>194.934</v>
      </c>
      <c r="H69" s="56" t="s">
        <v>166</v>
      </c>
      <c r="I69" s="60"/>
    </row>
    <row r="70" spans="1:9" ht="91.5" customHeight="1">
      <c r="A70" s="54">
        <v>32</v>
      </c>
      <c r="B70" s="1" t="s">
        <v>164</v>
      </c>
      <c r="C70" s="29"/>
      <c r="D70" s="12">
        <f>SUM(D71)</f>
        <v>1071.2</v>
      </c>
      <c r="E70" s="55"/>
      <c r="F70" s="12">
        <f>SUM(F71)</f>
        <v>1071.2</v>
      </c>
      <c r="G70" s="12">
        <f>SUM(G71)</f>
        <v>1071.1999999999998</v>
      </c>
      <c r="H70" s="56"/>
      <c r="I70" s="60"/>
    </row>
    <row r="71" spans="1:9" ht="58.5" customHeight="1">
      <c r="A71" s="2" t="s">
        <v>110</v>
      </c>
      <c r="B71" s="1" t="s">
        <v>112</v>
      </c>
      <c r="C71" s="1" t="s">
        <v>258</v>
      </c>
      <c r="D71" s="12">
        <v>1071.2</v>
      </c>
      <c r="E71" s="55">
        <f>100-(F71/D71)*100</f>
        <v>0</v>
      </c>
      <c r="F71" s="12">
        <f>SUM(D71)</f>
        <v>1071.2</v>
      </c>
      <c r="G71" s="12">
        <f>1573.6-502.4</f>
        <v>1071.1999999999998</v>
      </c>
      <c r="H71" s="56" t="s">
        <v>166</v>
      </c>
      <c r="I71" s="60"/>
    </row>
    <row r="72" spans="1:9" ht="90.75" customHeight="1">
      <c r="A72" s="54">
        <v>40</v>
      </c>
      <c r="B72" s="1" t="s">
        <v>238</v>
      </c>
      <c r="C72" s="1"/>
      <c r="D72" s="12">
        <f>SUM(D73:D361)</f>
        <v>145170.92900000015</v>
      </c>
      <c r="E72" s="55"/>
      <c r="F72" s="12">
        <f>SUM(F73:F361)</f>
        <v>118069.74285000008</v>
      </c>
      <c r="G72" s="12">
        <f>SUM(G73:G367)-G74-G76-G78-G81-G83-G85-G87-G91-G93-G95-G97-G99-G101-G103-G105-G110-G112-G312-G317-G327-G331-G334-G336-G342-G344-G346-G119-G191-G361-G238-G252-G254-G256-G263-G266-G271-G278-G286-G297</f>
        <v>55649.21600000008</v>
      </c>
      <c r="H72" s="56"/>
      <c r="I72" s="60"/>
    </row>
    <row r="73" spans="1:9" ht="53.25" customHeight="1">
      <c r="A73" s="131" t="s">
        <v>110</v>
      </c>
      <c r="B73" s="132" t="s">
        <v>112</v>
      </c>
      <c r="C73" s="1" t="s">
        <v>108</v>
      </c>
      <c r="D73" s="12">
        <v>706.344</v>
      </c>
      <c r="E73" s="55">
        <f aca="true" t="shared" si="2" ref="E73:E117">100-(F73/D73)*100</f>
        <v>0</v>
      </c>
      <c r="F73" s="12">
        <f>SUM(D73)</f>
        <v>706.344</v>
      </c>
      <c r="G73" s="12">
        <v>706.344</v>
      </c>
      <c r="H73" s="133" t="s">
        <v>328</v>
      </c>
      <c r="I73" s="60"/>
    </row>
    <row r="74" spans="1:16" s="23" customFormat="1" ht="34.5" customHeight="1">
      <c r="A74" s="131"/>
      <c r="B74" s="132"/>
      <c r="C74" s="1" t="s">
        <v>257</v>
      </c>
      <c r="D74" s="12"/>
      <c r="E74" s="55"/>
      <c r="F74" s="12"/>
      <c r="G74" s="12">
        <v>4.107</v>
      </c>
      <c r="H74" s="133"/>
      <c r="I74" s="21"/>
      <c r="J74" s="21"/>
      <c r="K74" s="21"/>
      <c r="L74" s="21"/>
      <c r="M74" s="21"/>
      <c r="N74" s="21"/>
      <c r="P74" s="22"/>
    </row>
    <row r="75" spans="1:9" ht="73.5" customHeight="1">
      <c r="A75" s="131" t="s">
        <v>110</v>
      </c>
      <c r="B75" s="132" t="s">
        <v>112</v>
      </c>
      <c r="C75" s="1" t="s">
        <v>296</v>
      </c>
      <c r="D75" s="12">
        <v>1512</v>
      </c>
      <c r="E75" s="55">
        <f t="shared" si="2"/>
        <v>39.27824338624338</v>
      </c>
      <c r="F75" s="12">
        <f>D75-509.5064-84.38064</f>
        <v>918.11296</v>
      </c>
      <c r="G75" s="12">
        <v>275.038</v>
      </c>
      <c r="H75" s="133" t="s">
        <v>166</v>
      </c>
      <c r="I75" s="60"/>
    </row>
    <row r="76" spans="1:16" s="23" customFormat="1" ht="36.75" customHeight="1">
      <c r="A76" s="131"/>
      <c r="B76" s="132"/>
      <c r="C76" s="1" t="s">
        <v>257</v>
      </c>
      <c r="D76" s="12"/>
      <c r="E76" s="55"/>
      <c r="F76" s="12"/>
      <c r="G76" s="12">
        <v>24.866</v>
      </c>
      <c r="H76" s="133"/>
      <c r="I76" s="21"/>
      <c r="J76" s="21"/>
      <c r="K76" s="21"/>
      <c r="L76" s="21"/>
      <c r="M76" s="21"/>
      <c r="N76" s="21"/>
      <c r="P76" s="22"/>
    </row>
    <row r="77" spans="1:9" ht="38.25" customHeight="1">
      <c r="A77" s="131" t="s">
        <v>110</v>
      </c>
      <c r="B77" s="132" t="s">
        <v>112</v>
      </c>
      <c r="C77" s="1" t="s">
        <v>297</v>
      </c>
      <c r="D77" s="12">
        <v>800</v>
      </c>
      <c r="E77" s="55">
        <f t="shared" si="2"/>
        <v>0.27025374999999485</v>
      </c>
      <c r="F77" s="12">
        <f>D77-2.16203</f>
        <v>797.83797</v>
      </c>
      <c r="G77" s="12">
        <v>797.838</v>
      </c>
      <c r="H77" s="133" t="s">
        <v>166</v>
      </c>
      <c r="I77" s="60"/>
    </row>
    <row r="78" spans="1:16" s="23" customFormat="1" ht="38.25" customHeight="1">
      <c r="A78" s="131"/>
      <c r="B78" s="132"/>
      <c r="C78" s="1" t="s">
        <v>257</v>
      </c>
      <c r="D78" s="12"/>
      <c r="E78" s="55"/>
      <c r="F78" s="12"/>
      <c r="G78" s="12">
        <v>79.479</v>
      </c>
      <c r="H78" s="133"/>
      <c r="I78" s="21"/>
      <c r="J78" s="21"/>
      <c r="K78" s="21"/>
      <c r="L78" s="21"/>
      <c r="M78" s="21"/>
      <c r="N78" s="21"/>
      <c r="P78" s="22"/>
    </row>
    <row r="79" spans="1:9" ht="79.5" customHeight="1">
      <c r="A79" s="2" t="s">
        <v>110</v>
      </c>
      <c r="B79" s="1" t="s">
        <v>112</v>
      </c>
      <c r="C79" s="1" t="s">
        <v>268</v>
      </c>
      <c r="D79" s="12">
        <v>2667.701</v>
      </c>
      <c r="E79" s="55">
        <f t="shared" si="2"/>
        <v>28.663713062295955</v>
      </c>
      <c r="F79" s="12">
        <f>D79-173.115-591.54716</f>
        <v>1903.0388400000002</v>
      </c>
      <c r="G79" s="12">
        <v>4.775</v>
      </c>
      <c r="H79" s="56" t="s">
        <v>327</v>
      </c>
      <c r="I79" s="60"/>
    </row>
    <row r="80" spans="1:9" ht="37.5" customHeight="1">
      <c r="A80" s="131" t="s">
        <v>110</v>
      </c>
      <c r="B80" s="132" t="s">
        <v>112</v>
      </c>
      <c r="C80" s="4" t="s">
        <v>298</v>
      </c>
      <c r="D80" s="12">
        <v>822.602</v>
      </c>
      <c r="E80" s="55">
        <f t="shared" si="2"/>
        <v>58.667800467297674</v>
      </c>
      <c r="F80" s="12">
        <f>SUM(D80-463.8061-18.7964)</f>
        <v>339.99949999999995</v>
      </c>
      <c r="G80" s="12">
        <v>340</v>
      </c>
      <c r="H80" s="133" t="s">
        <v>328</v>
      </c>
      <c r="I80" s="60"/>
    </row>
    <row r="81" spans="1:16" s="23" customFormat="1" ht="37.5" customHeight="1">
      <c r="A81" s="131"/>
      <c r="B81" s="132"/>
      <c r="C81" s="1" t="s">
        <v>257</v>
      </c>
      <c r="D81" s="12"/>
      <c r="E81" s="55"/>
      <c r="F81" s="12"/>
      <c r="G81" s="12">
        <v>0.297</v>
      </c>
      <c r="H81" s="133"/>
      <c r="I81" s="21"/>
      <c r="J81" s="21"/>
      <c r="K81" s="21"/>
      <c r="L81" s="21"/>
      <c r="M81" s="21"/>
      <c r="N81" s="21"/>
      <c r="P81" s="22"/>
    </row>
    <row r="82" spans="1:9" ht="37.5" customHeight="1">
      <c r="A82" s="131" t="s">
        <v>110</v>
      </c>
      <c r="B82" s="132" t="s">
        <v>112</v>
      </c>
      <c r="C82" s="4" t="s">
        <v>299</v>
      </c>
      <c r="D82" s="12">
        <v>610.807</v>
      </c>
      <c r="E82" s="55">
        <f t="shared" si="2"/>
        <v>52.566448976517954</v>
      </c>
      <c r="F82" s="12">
        <f>467.855-178.12755</f>
        <v>289.72745</v>
      </c>
      <c r="G82" s="12">
        <v>289.727</v>
      </c>
      <c r="H82" s="133" t="s">
        <v>328</v>
      </c>
      <c r="I82" s="60"/>
    </row>
    <row r="83" spans="1:16" s="23" customFormat="1" ht="37.5" customHeight="1">
      <c r="A83" s="131"/>
      <c r="B83" s="132"/>
      <c r="C83" s="1" t="s">
        <v>257</v>
      </c>
      <c r="D83" s="12"/>
      <c r="E83" s="55"/>
      <c r="F83" s="12"/>
      <c r="G83" s="12">
        <v>0.419</v>
      </c>
      <c r="H83" s="133"/>
      <c r="I83" s="21"/>
      <c r="J83" s="21"/>
      <c r="K83" s="21"/>
      <c r="L83" s="21"/>
      <c r="M83" s="21"/>
      <c r="N83" s="21"/>
      <c r="P83" s="22"/>
    </row>
    <row r="84" spans="1:9" ht="37.5" customHeight="1">
      <c r="A84" s="131" t="s">
        <v>110</v>
      </c>
      <c r="B84" s="132" t="s">
        <v>112</v>
      </c>
      <c r="C84" s="4" t="s">
        <v>300</v>
      </c>
      <c r="D84" s="12">
        <v>294</v>
      </c>
      <c r="E84" s="55">
        <f t="shared" si="2"/>
        <v>47.73405782312924</v>
      </c>
      <c r="F84" s="12">
        <f>207.8-54.13813</f>
        <v>153.66187000000002</v>
      </c>
      <c r="G84" s="12">
        <v>153.662</v>
      </c>
      <c r="H84" s="133" t="s">
        <v>328</v>
      </c>
      <c r="I84" s="60"/>
    </row>
    <row r="85" spans="1:16" s="23" customFormat="1" ht="37.5" customHeight="1">
      <c r="A85" s="131"/>
      <c r="B85" s="132"/>
      <c r="C85" s="1" t="s">
        <v>257</v>
      </c>
      <c r="D85" s="12"/>
      <c r="E85" s="55"/>
      <c r="F85" s="12"/>
      <c r="G85" s="12">
        <v>0.297</v>
      </c>
      <c r="H85" s="133"/>
      <c r="I85" s="21"/>
      <c r="J85" s="21"/>
      <c r="K85" s="21"/>
      <c r="L85" s="21"/>
      <c r="M85" s="21"/>
      <c r="N85" s="21"/>
      <c r="P85" s="22"/>
    </row>
    <row r="86" spans="1:9" ht="37.5" customHeight="1">
      <c r="A86" s="131" t="s">
        <v>110</v>
      </c>
      <c r="B86" s="132" t="s">
        <v>112</v>
      </c>
      <c r="C86" s="4" t="s">
        <v>301</v>
      </c>
      <c r="D86" s="12">
        <v>298.864</v>
      </c>
      <c r="E86" s="55">
        <f t="shared" si="2"/>
        <v>83.58739092028482</v>
      </c>
      <c r="F86" s="12">
        <f>SUM(D86-249.81262)</f>
        <v>49.051379999999966</v>
      </c>
      <c r="G86" s="12">
        <v>49.051</v>
      </c>
      <c r="H86" s="133" t="s">
        <v>328</v>
      </c>
      <c r="I86" s="60"/>
    </row>
    <row r="87" spans="1:16" s="23" customFormat="1" ht="37.5" customHeight="1">
      <c r="A87" s="131"/>
      <c r="B87" s="132"/>
      <c r="C87" s="1" t="s">
        <v>257</v>
      </c>
      <c r="D87" s="12"/>
      <c r="E87" s="55"/>
      <c r="F87" s="12"/>
      <c r="G87" s="12">
        <v>28.752</v>
      </c>
      <c r="H87" s="133"/>
      <c r="I87" s="21"/>
      <c r="J87" s="21"/>
      <c r="K87" s="21"/>
      <c r="L87" s="21"/>
      <c r="M87" s="21"/>
      <c r="N87" s="21"/>
      <c r="P87" s="22"/>
    </row>
    <row r="88" spans="1:16" s="23" customFormat="1" ht="59.25" customHeight="1">
      <c r="A88" s="2" t="s">
        <v>110</v>
      </c>
      <c r="B88" s="1" t="s">
        <v>112</v>
      </c>
      <c r="C88" s="66" t="s">
        <v>9</v>
      </c>
      <c r="D88" s="12">
        <v>345.238</v>
      </c>
      <c r="E88" s="55">
        <f t="shared" si="2"/>
        <v>0</v>
      </c>
      <c r="F88" s="12">
        <v>345.238</v>
      </c>
      <c r="G88" s="12">
        <v>345.238</v>
      </c>
      <c r="H88" s="56" t="s">
        <v>166</v>
      </c>
      <c r="I88" s="21"/>
      <c r="J88" s="21"/>
      <c r="K88" s="21"/>
      <c r="L88" s="21"/>
      <c r="M88" s="21"/>
      <c r="N88" s="21"/>
      <c r="P88" s="22"/>
    </row>
    <row r="89" spans="1:9" ht="57.75" customHeight="1">
      <c r="A89" s="18" t="s">
        <v>110</v>
      </c>
      <c r="B89" s="67" t="s">
        <v>112</v>
      </c>
      <c r="C89" s="4" t="s">
        <v>51</v>
      </c>
      <c r="D89" s="12">
        <v>26.666</v>
      </c>
      <c r="E89" s="55">
        <f t="shared" si="2"/>
        <v>0</v>
      </c>
      <c r="F89" s="12">
        <v>26.666</v>
      </c>
      <c r="G89" s="12">
        <v>3.74</v>
      </c>
      <c r="H89" s="68" t="s">
        <v>166</v>
      </c>
      <c r="I89" s="60"/>
    </row>
    <row r="90" spans="1:9" ht="38.25" customHeight="1">
      <c r="A90" s="131" t="s">
        <v>110</v>
      </c>
      <c r="B90" s="132" t="s">
        <v>112</v>
      </c>
      <c r="C90" s="4" t="s">
        <v>302</v>
      </c>
      <c r="D90" s="12">
        <v>22.426</v>
      </c>
      <c r="E90" s="55">
        <f t="shared" si="2"/>
        <v>0</v>
      </c>
      <c r="F90" s="12">
        <v>22.426</v>
      </c>
      <c r="G90" s="12">
        <v>22.426</v>
      </c>
      <c r="H90" s="133" t="s">
        <v>166</v>
      </c>
      <c r="I90" s="60"/>
    </row>
    <row r="91" spans="1:16" s="23" customFormat="1" ht="38.25" customHeight="1">
      <c r="A91" s="131"/>
      <c r="B91" s="132"/>
      <c r="C91" s="1" t="s">
        <v>257</v>
      </c>
      <c r="D91" s="12"/>
      <c r="E91" s="55"/>
      <c r="F91" s="12"/>
      <c r="G91" s="12">
        <v>4.346</v>
      </c>
      <c r="H91" s="133"/>
      <c r="I91" s="21"/>
      <c r="J91" s="21"/>
      <c r="K91" s="21"/>
      <c r="L91" s="21"/>
      <c r="M91" s="21"/>
      <c r="N91" s="21"/>
      <c r="P91" s="22"/>
    </row>
    <row r="92" spans="1:9" ht="38.25" customHeight="1">
      <c r="A92" s="131" t="s">
        <v>110</v>
      </c>
      <c r="B92" s="132" t="s">
        <v>112</v>
      </c>
      <c r="C92" s="4" t="s">
        <v>303</v>
      </c>
      <c r="D92" s="12">
        <v>21.511</v>
      </c>
      <c r="E92" s="55">
        <f t="shared" si="2"/>
        <v>0</v>
      </c>
      <c r="F92" s="12">
        <v>21.511</v>
      </c>
      <c r="G92" s="12">
        <v>21.511</v>
      </c>
      <c r="H92" s="133" t="s">
        <v>166</v>
      </c>
      <c r="I92" s="60"/>
    </row>
    <row r="93" spans="1:16" s="23" customFormat="1" ht="38.25" customHeight="1">
      <c r="A93" s="131"/>
      <c r="B93" s="132"/>
      <c r="C93" s="1" t="s">
        <v>257</v>
      </c>
      <c r="D93" s="12"/>
      <c r="E93" s="55"/>
      <c r="F93" s="12"/>
      <c r="G93" s="12">
        <v>3.942</v>
      </c>
      <c r="H93" s="133"/>
      <c r="I93" s="21"/>
      <c r="J93" s="21"/>
      <c r="K93" s="21"/>
      <c r="L93" s="21"/>
      <c r="M93" s="21"/>
      <c r="N93" s="21"/>
      <c r="P93" s="22"/>
    </row>
    <row r="94" spans="1:9" ht="38.25" customHeight="1">
      <c r="A94" s="131" t="s">
        <v>110</v>
      </c>
      <c r="B94" s="132" t="s">
        <v>112</v>
      </c>
      <c r="C94" s="4" t="s">
        <v>304</v>
      </c>
      <c r="D94" s="12">
        <v>16.771</v>
      </c>
      <c r="E94" s="55">
        <f t="shared" si="2"/>
        <v>0</v>
      </c>
      <c r="F94" s="12">
        <v>16.771</v>
      </c>
      <c r="G94" s="12">
        <v>16.771</v>
      </c>
      <c r="H94" s="133" t="s">
        <v>166</v>
      </c>
      <c r="I94" s="60"/>
    </row>
    <row r="95" spans="1:16" s="23" customFormat="1" ht="38.25" customHeight="1">
      <c r="A95" s="131"/>
      <c r="B95" s="132"/>
      <c r="C95" s="1" t="s">
        <v>257</v>
      </c>
      <c r="D95" s="12"/>
      <c r="E95" s="55"/>
      <c r="F95" s="12"/>
      <c r="G95" s="12">
        <v>3.74</v>
      </c>
      <c r="H95" s="133"/>
      <c r="I95" s="21"/>
      <c r="J95" s="21"/>
      <c r="K95" s="21"/>
      <c r="L95" s="21"/>
      <c r="M95" s="21"/>
      <c r="N95" s="21"/>
      <c r="P95" s="22"/>
    </row>
    <row r="96" spans="1:9" ht="38.25" customHeight="1">
      <c r="A96" s="131" t="s">
        <v>110</v>
      </c>
      <c r="B96" s="132" t="s">
        <v>112</v>
      </c>
      <c r="C96" s="4" t="s">
        <v>305</v>
      </c>
      <c r="D96" s="12">
        <v>17.286</v>
      </c>
      <c r="E96" s="55">
        <f t="shared" si="2"/>
        <v>0</v>
      </c>
      <c r="F96" s="12">
        <v>17.286</v>
      </c>
      <c r="G96" s="12">
        <v>17.286</v>
      </c>
      <c r="H96" s="133" t="s">
        <v>166</v>
      </c>
      <c r="I96" s="60"/>
    </row>
    <row r="97" spans="1:16" s="23" customFormat="1" ht="38.25" customHeight="1">
      <c r="A97" s="131"/>
      <c r="B97" s="132"/>
      <c r="C97" s="1" t="s">
        <v>257</v>
      </c>
      <c r="D97" s="12"/>
      <c r="E97" s="55"/>
      <c r="F97" s="12"/>
      <c r="G97" s="12">
        <v>3.74</v>
      </c>
      <c r="H97" s="133"/>
      <c r="I97" s="21"/>
      <c r="J97" s="21"/>
      <c r="K97" s="21"/>
      <c r="L97" s="21"/>
      <c r="M97" s="21"/>
      <c r="N97" s="21"/>
      <c r="P97" s="22"/>
    </row>
    <row r="98" spans="1:9" ht="38.25" customHeight="1">
      <c r="A98" s="131" t="s">
        <v>110</v>
      </c>
      <c r="B98" s="132" t="s">
        <v>112</v>
      </c>
      <c r="C98" s="4" t="s">
        <v>306</v>
      </c>
      <c r="D98" s="12">
        <v>28.399</v>
      </c>
      <c r="E98" s="55">
        <f t="shared" si="2"/>
        <v>0</v>
      </c>
      <c r="F98" s="12">
        <v>28.399</v>
      </c>
      <c r="G98" s="12">
        <v>28.399</v>
      </c>
      <c r="H98" s="133" t="s">
        <v>166</v>
      </c>
      <c r="I98" s="60"/>
    </row>
    <row r="99" spans="1:16" s="23" customFormat="1" ht="38.25" customHeight="1">
      <c r="A99" s="131"/>
      <c r="B99" s="132"/>
      <c r="C99" s="1" t="s">
        <v>257</v>
      </c>
      <c r="D99" s="12"/>
      <c r="E99" s="55"/>
      <c r="F99" s="12"/>
      <c r="G99" s="12">
        <v>4.548</v>
      </c>
      <c r="H99" s="133"/>
      <c r="I99" s="21"/>
      <c r="J99" s="21"/>
      <c r="K99" s="21"/>
      <c r="L99" s="21"/>
      <c r="M99" s="21"/>
      <c r="N99" s="21"/>
      <c r="P99" s="22"/>
    </row>
    <row r="100" spans="1:9" ht="38.25" customHeight="1">
      <c r="A100" s="131" t="s">
        <v>110</v>
      </c>
      <c r="B100" s="132" t="s">
        <v>112</v>
      </c>
      <c r="C100" s="4" t="s">
        <v>307</v>
      </c>
      <c r="D100" s="12">
        <v>43.706</v>
      </c>
      <c r="E100" s="55">
        <f t="shared" si="2"/>
        <v>0</v>
      </c>
      <c r="F100" s="12">
        <v>43.706</v>
      </c>
      <c r="G100" s="12">
        <v>43.706</v>
      </c>
      <c r="H100" s="133" t="s">
        <v>166</v>
      </c>
      <c r="I100" s="60"/>
    </row>
    <row r="101" spans="1:16" s="23" customFormat="1" ht="38.25" customHeight="1">
      <c r="A101" s="131"/>
      <c r="B101" s="132"/>
      <c r="C101" s="1" t="s">
        <v>257</v>
      </c>
      <c r="D101" s="12"/>
      <c r="E101" s="55"/>
      <c r="F101" s="12"/>
      <c r="G101" s="12">
        <v>4.952</v>
      </c>
      <c r="H101" s="133"/>
      <c r="I101" s="21"/>
      <c r="J101" s="21"/>
      <c r="K101" s="21"/>
      <c r="L101" s="21"/>
      <c r="M101" s="21"/>
      <c r="N101" s="21"/>
      <c r="P101" s="22"/>
    </row>
    <row r="102" spans="1:9" ht="38.25" customHeight="1">
      <c r="A102" s="131" t="s">
        <v>110</v>
      </c>
      <c r="B102" s="132" t="s">
        <v>112</v>
      </c>
      <c r="C102" s="4" t="s">
        <v>308</v>
      </c>
      <c r="D102" s="12">
        <v>29.153</v>
      </c>
      <c r="E102" s="55">
        <f t="shared" si="2"/>
        <v>0</v>
      </c>
      <c r="F102" s="12">
        <v>29.153</v>
      </c>
      <c r="G102" s="12">
        <v>29.153</v>
      </c>
      <c r="H102" s="133" t="s">
        <v>166</v>
      </c>
      <c r="I102" s="60"/>
    </row>
    <row r="103" spans="1:16" s="23" customFormat="1" ht="38.25" customHeight="1">
      <c r="A103" s="131"/>
      <c r="B103" s="132"/>
      <c r="C103" s="1" t="s">
        <v>257</v>
      </c>
      <c r="D103" s="12"/>
      <c r="E103" s="55"/>
      <c r="F103" s="12"/>
      <c r="G103" s="12">
        <v>4.548</v>
      </c>
      <c r="H103" s="133"/>
      <c r="I103" s="21"/>
      <c r="J103" s="21"/>
      <c r="K103" s="21"/>
      <c r="L103" s="21"/>
      <c r="M103" s="21"/>
      <c r="N103" s="21"/>
      <c r="P103" s="22"/>
    </row>
    <row r="104" spans="1:9" ht="38.25" customHeight="1">
      <c r="A104" s="131" t="s">
        <v>110</v>
      </c>
      <c r="B104" s="132" t="s">
        <v>112</v>
      </c>
      <c r="C104" s="4" t="s">
        <v>309</v>
      </c>
      <c r="D104" s="12">
        <v>29.509</v>
      </c>
      <c r="E104" s="55">
        <f t="shared" si="2"/>
        <v>0</v>
      </c>
      <c r="F104" s="12">
        <v>29.509</v>
      </c>
      <c r="G104" s="12">
        <v>29.509</v>
      </c>
      <c r="H104" s="133" t="s">
        <v>166</v>
      </c>
      <c r="I104" s="60"/>
    </row>
    <row r="105" spans="1:16" s="23" customFormat="1" ht="38.25" customHeight="1">
      <c r="A105" s="131"/>
      <c r="B105" s="132"/>
      <c r="C105" s="1" t="s">
        <v>257</v>
      </c>
      <c r="D105" s="12"/>
      <c r="E105" s="55"/>
      <c r="F105" s="12"/>
      <c r="G105" s="12">
        <v>4.548</v>
      </c>
      <c r="H105" s="133"/>
      <c r="I105" s="21"/>
      <c r="J105" s="21"/>
      <c r="K105" s="21"/>
      <c r="L105" s="21"/>
      <c r="M105" s="21"/>
      <c r="N105" s="21"/>
      <c r="P105" s="22"/>
    </row>
    <row r="106" spans="1:16" s="23" customFormat="1" ht="57.75" customHeight="1">
      <c r="A106" s="2" t="s">
        <v>110</v>
      </c>
      <c r="B106" s="1" t="s">
        <v>112</v>
      </c>
      <c r="C106" s="4" t="s">
        <v>52</v>
      </c>
      <c r="D106" s="12">
        <v>27.276</v>
      </c>
      <c r="E106" s="55">
        <f t="shared" si="2"/>
        <v>0</v>
      </c>
      <c r="F106" s="12">
        <f>SUM(D106)</f>
        <v>27.276</v>
      </c>
      <c r="G106" s="12">
        <v>27.276</v>
      </c>
      <c r="H106" s="56" t="s">
        <v>166</v>
      </c>
      <c r="I106" s="21"/>
      <c r="J106" s="21"/>
      <c r="K106" s="21"/>
      <c r="L106" s="21"/>
      <c r="M106" s="21"/>
      <c r="N106" s="21"/>
      <c r="P106" s="22"/>
    </row>
    <row r="107" spans="1:16" s="23" customFormat="1" ht="57.75" customHeight="1">
      <c r="A107" s="2" t="s">
        <v>110</v>
      </c>
      <c r="B107" s="1" t="s">
        <v>112</v>
      </c>
      <c r="C107" s="4" t="s">
        <v>53</v>
      </c>
      <c r="D107" s="12">
        <v>58.338</v>
      </c>
      <c r="E107" s="55">
        <f t="shared" si="2"/>
        <v>0</v>
      </c>
      <c r="F107" s="12">
        <f>SUM(D107)</f>
        <v>58.338</v>
      </c>
      <c r="G107" s="12">
        <v>58.338</v>
      </c>
      <c r="H107" s="56" t="s">
        <v>166</v>
      </c>
      <c r="I107" s="21"/>
      <c r="J107" s="21"/>
      <c r="K107" s="21"/>
      <c r="L107" s="21"/>
      <c r="M107" s="21"/>
      <c r="N107" s="21"/>
      <c r="P107" s="22"/>
    </row>
    <row r="108" spans="1:16" s="23" customFormat="1" ht="57.75" customHeight="1">
      <c r="A108" s="2" t="s">
        <v>110</v>
      </c>
      <c r="B108" s="1" t="s">
        <v>112</v>
      </c>
      <c r="C108" s="4" t="s">
        <v>54</v>
      </c>
      <c r="D108" s="12">
        <v>41.43</v>
      </c>
      <c r="E108" s="55">
        <f t="shared" si="2"/>
        <v>0</v>
      </c>
      <c r="F108" s="12">
        <f>SUM(D108)</f>
        <v>41.43</v>
      </c>
      <c r="G108" s="12">
        <v>41.43</v>
      </c>
      <c r="H108" s="56" t="s">
        <v>166</v>
      </c>
      <c r="I108" s="21"/>
      <c r="J108" s="21"/>
      <c r="K108" s="21"/>
      <c r="L108" s="21"/>
      <c r="M108" s="21"/>
      <c r="N108" s="21"/>
      <c r="P108" s="22"/>
    </row>
    <row r="109" spans="1:9" ht="54" customHeight="1">
      <c r="A109" s="131" t="s">
        <v>110</v>
      </c>
      <c r="B109" s="132" t="s">
        <v>112</v>
      </c>
      <c r="C109" s="4" t="s">
        <v>316</v>
      </c>
      <c r="D109" s="12">
        <v>4548.06</v>
      </c>
      <c r="E109" s="55">
        <f t="shared" si="2"/>
        <v>0.031089079739501813</v>
      </c>
      <c r="F109" s="12">
        <f>SUM(D109-1.41395)</f>
        <v>4546.64605</v>
      </c>
      <c r="G109" s="12">
        <v>2946.646</v>
      </c>
      <c r="H109" s="133" t="s">
        <v>166</v>
      </c>
      <c r="I109" s="60"/>
    </row>
    <row r="110" spans="1:16" s="23" customFormat="1" ht="35.25" customHeight="1">
      <c r="A110" s="131"/>
      <c r="B110" s="132"/>
      <c r="C110" s="1" t="s">
        <v>257</v>
      </c>
      <c r="D110" s="12"/>
      <c r="E110" s="55"/>
      <c r="F110" s="12"/>
      <c r="G110" s="12">
        <v>3.3</v>
      </c>
      <c r="H110" s="133"/>
      <c r="I110" s="21"/>
      <c r="J110" s="21"/>
      <c r="K110" s="21"/>
      <c r="L110" s="21"/>
      <c r="M110" s="21"/>
      <c r="N110" s="21"/>
      <c r="P110" s="22"/>
    </row>
    <row r="111" spans="1:9" ht="55.5" customHeight="1">
      <c r="A111" s="134" t="s">
        <v>110</v>
      </c>
      <c r="B111" s="132" t="s">
        <v>112</v>
      </c>
      <c r="C111" s="1" t="s">
        <v>136</v>
      </c>
      <c r="D111" s="12">
        <v>3826.168</v>
      </c>
      <c r="E111" s="55">
        <f t="shared" si="2"/>
        <v>25.932833581797766</v>
      </c>
      <c r="F111" s="12">
        <f>D111-87-905.23378</f>
        <v>2833.93422</v>
      </c>
      <c r="G111" s="12">
        <v>1810.038</v>
      </c>
      <c r="H111" s="133" t="s">
        <v>166</v>
      </c>
      <c r="I111" s="60"/>
    </row>
    <row r="112" spans="1:16" s="23" customFormat="1" ht="38.25" customHeight="1">
      <c r="A112" s="134"/>
      <c r="B112" s="132"/>
      <c r="C112" s="1" t="s">
        <v>257</v>
      </c>
      <c r="D112" s="12"/>
      <c r="E112" s="55"/>
      <c r="F112" s="12"/>
      <c r="G112" s="12">
        <v>202.866</v>
      </c>
      <c r="H112" s="133"/>
      <c r="I112" s="21"/>
      <c r="J112" s="21"/>
      <c r="K112" s="21"/>
      <c r="L112" s="21"/>
      <c r="M112" s="21"/>
      <c r="N112" s="21"/>
      <c r="P112" s="22"/>
    </row>
    <row r="113" spans="1:9" ht="57.75" customHeight="1">
      <c r="A113" s="54" t="s">
        <v>110</v>
      </c>
      <c r="B113" s="1" t="s">
        <v>112</v>
      </c>
      <c r="C113" s="1" t="s">
        <v>141</v>
      </c>
      <c r="D113" s="12">
        <v>2321.421</v>
      </c>
      <c r="E113" s="55">
        <f t="shared" si="2"/>
        <v>0.28411261895190876</v>
      </c>
      <c r="F113" s="12">
        <f>D113-6.59545</f>
        <v>2314.82555</v>
      </c>
      <c r="G113" s="12">
        <v>2314.826</v>
      </c>
      <c r="H113" s="56" t="s">
        <v>166</v>
      </c>
      <c r="I113" s="60"/>
    </row>
    <row r="114" spans="1:9" ht="39" customHeight="1">
      <c r="A114" s="54" t="s">
        <v>110</v>
      </c>
      <c r="B114" s="1" t="s">
        <v>112</v>
      </c>
      <c r="C114" s="1" t="s">
        <v>218</v>
      </c>
      <c r="D114" s="12">
        <v>742.773</v>
      </c>
      <c r="E114" s="55">
        <f t="shared" si="2"/>
        <v>0</v>
      </c>
      <c r="F114" s="12">
        <f>D114</f>
        <v>742.773</v>
      </c>
      <c r="G114" s="12">
        <v>742.773</v>
      </c>
      <c r="H114" s="56" t="s">
        <v>166</v>
      </c>
      <c r="I114" s="60"/>
    </row>
    <row r="115" spans="1:9" ht="57" customHeight="1">
      <c r="A115" s="2" t="s">
        <v>110</v>
      </c>
      <c r="B115" s="1" t="s">
        <v>112</v>
      </c>
      <c r="C115" s="1" t="s">
        <v>220</v>
      </c>
      <c r="D115" s="12">
        <v>560</v>
      </c>
      <c r="E115" s="55">
        <f>100-(F115/D115)*100</f>
        <v>0</v>
      </c>
      <c r="F115" s="12">
        <f>D115</f>
        <v>560</v>
      </c>
      <c r="G115" s="12">
        <v>560</v>
      </c>
      <c r="H115" s="56" t="s">
        <v>166</v>
      </c>
      <c r="I115" s="60"/>
    </row>
    <row r="116" spans="1:9" ht="60.75" customHeight="1">
      <c r="A116" s="2" t="s">
        <v>110</v>
      </c>
      <c r="B116" s="1" t="s">
        <v>112</v>
      </c>
      <c r="C116" s="69" t="s">
        <v>243</v>
      </c>
      <c r="D116" s="12">
        <v>302.611</v>
      </c>
      <c r="E116" s="55">
        <f>100-(F116/D116)*100</f>
        <v>0</v>
      </c>
      <c r="F116" s="12">
        <f>D116</f>
        <v>302.611</v>
      </c>
      <c r="G116" s="12">
        <v>302.611</v>
      </c>
      <c r="H116" s="56" t="s">
        <v>166</v>
      </c>
      <c r="I116" s="60"/>
    </row>
    <row r="117" spans="1:9" ht="37.5" customHeight="1">
      <c r="A117" s="2" t="s">
        <v>110</v>
      </c>
      <c r="B117" s="1" t="s">
        <v>112</v>
      </c>
      <c r="C117" s="1" t="s">
        <v>236</v>
      </c>
      <c r="D117" s="12">
        <v>140</v>
      </c>
      <c r="E117" s="55">
        <f t="shared" si="2"/>
        <v>0</v>
      </c>
      <c r="F117" s="12">
        <f>D117</f>
        <v>140</v>
      </c>
      <c r="G117" s="12">
        <v>140</v>
      </c>
      <c r="H117" s="56" t="s">
        <v>166</v>
      </c>
      <c r="I117" s="60"/>
    </row>
    <row r="118" spans="1:9" ht="75.75" customHeight="1">
      <c r="A118" s="2" t="s">
        <v>66</v>
      </c>
      <c r="B118" s="1" t="s">
        <v>67</v>
      </c>
      <c r="C118" s="1" t="s">
        <v>68</v>
      </c>
      <c r="D118" s="12"/>
      <c r="E118" s="55"/>
      <c r="F118" s="12"/>
      <c r="G118" s="12">
        <v>1292.78</v>
      </c>
      <c r="H118" s="56"/>
      <c r="I118" s="60"/>
    </row>
    <row r="119" spans="1:9" ht="37.5" customHeight="1">
      <c r="A119" s="131" t="s">
        <v>110</v>
      </c>
      <c r="B119" s="132" t="s">
        <v>112</v>
      </c>
      <c r="C119" s="1" t="s">
        <v>216</v>
      </c>
      <c r="D119" s="12">
        <f>SUM(D121:D190)</f>
        <v>4406.700000000001</v>
      </c>
      <c r="E119" s="55">
        <f>100-(F119/D119)*100</f>
        <v>0</v>
      </c>
      <c r="F119" s="12">
        <f>SUM(F121:F190)</f>
        <v>4406.700000000001</v>
      </c>
      <c r="G119" s="12">
        <f>SUM(G121:G190)</f>
        <v>4406.700000000001</v>
      </c>
      <c r="H119" s="133" t="s">
        <v>166</v>
      </c>
      <c r="I119" s="60"/>
    </row>
    <row r="120" spans="1:9" s="72" customFormat="1" ht="18.75">
      <c r="A120" s="131"/>
      <c r="B120" s="132"/>
      <c r="C120" s="1" t="s">
        <v>336</v>
      </c>
      <c r="D120" s="27"/>
      <c r="E120" s="70"/>
      <c r="F120" s="27"/>
      <c r="G120" s="27"/>
      <c r="H120" s="133"/>
      <c r="I120" s="71"/>
    </row>
    <row r="121" spans="1:9" s="72" customFormat="1" ht="18.75">
      <c r="A121" s="2" t="s">
        <v>110</v>
      </c>
      <c r="B121" s="1" t="s">
        <v>112</v>
      </c>
      <c r="C121" s="1" t="s">
        <v>442</v>
      </c>
      <c r="D121" s="12">
        <v>62.953</v>
      </c>
      <c r="E121" s="55">
        <f aca="true" t="shared" si="3" ref="E121:E164">100-(F121/D121)*100</f>
        <v>0</v>
      </c>
      <c r="F121" s="12">
        <f>SUM(D121)</f>
        <v>62.953</v>
      </c>
      <c r="G121" s="12">
        <v>62.953</v>
      </c>
      <c r="H121" s="56" t="s">
        <v>166</v>
      </c>
      <c r="I121" s="71"/>
    </row>
    <row r="122" spans="1:9" s="72" customFormat="1" ht="18.75">
      <c r="A122" s="2" t="s">
        <v>110</v>
      </c>
      <c r="B122" s="1" t="s">
        <v>112</v>
      </c>
      <c r="C122" s="1" t="s">
        <v>337</v>
      </c>
      <c r="D122" s="12">
        <v>62.953</v>
      </c>
      <c r="E122" s="55">
        <f t="shared" si="3"/>
        <v>0</v>
      </c>
      <c r="F122" s="12">
        <f aca="true" t="shared" si="4" ref="F122:F164">SUM(D122)</f>
        <v>62.953</v>
      </c>
      <c r="G122" s="12">
        <v>62.953</v>
      </c>
      <c r="H122" s="56" t="s">
        <v>166</v>
      </c>
      <c r="I122" s="71"/>
    </row>
    <row r="123" spans="1:9" s="72" customFormat="1" ht="18.75">
      <c r="A123" s="2" t="s">
        <v>110</v>
      </c>
      <c r="B123" s="1" t="s">
        <v>112</v>
      </c>
      <c r="C123" s="1" t="s">
        <v>338</v>
      </c>
      <c r="D123" s="12">
        <v>62.953</v>
      </c>
      <c r="E123" s="55">
        <f t="shared" si="3"/>
        <v>0</v>
      </c>
      <c r="F123" s="12">
        <f t="shared" si="4"/>
        <v>62.953</v>
      </c>
      <c r="G123" s="12">
        <v>62.953</v>
      </c>
      <c r="H123" s="56" t="s">
        <v>166</v>
      </c>
      <c r="I123" s="71"/>
    </row>
    <row r="124" spans="1:9" s="72" customFormat="1" ht="18.75">
      <c r="A124" s="2" t="s">
        <v>110</v>
      </c>
      <c r="B124" s="1" t="s">
        <v>112</v>
      </c>
      <c r="C124" s="1" t="s">
        <v>339</v>
      </c>
      <c r="D124" s="12">
        <v>62.953</v>
      </c>
      <c r="E124" s="55">
        <f t="shared" si="3"/>
        <v>0</v>
      </c>
      <c r="F124" s="12">
        <f t="shared" si="4"/>
        <v>62.953</v>
      </c>
      <c r="G124" s="12">
        <v>62.953</v>
      </c>
      <c r="H124" s="56" t="s">
        <v>166</v>
      </c>
      <c r="I124" s="71"/>
    </row>
    <row r="125" spans="1:9" s="72" customFormat="1" ht="18.75">
      <c r="A125" s="2" t="s">
        <v>110</v>
      </c>
      <c r="B125" s="1" t="s">
        <v>112</v>
      </c>
      <c r="C125" s="1" t="s">
        <v>340</v>
      </c>
      <c r="D125" s="12">
        <v>62.953</v>
      </c>
      <c r="E125" s="55">
        <f t="shared" si="3"/>
        <v>0</v>
      </c>
      <c r="F125" s="12">
        <f t="shared" si="4"/>
        <v>62.953</v>
      </c>
      <c r="G125" s="12">
        <v>62.953</v>
      </c>
      <c r="H125" s="56" t="s">
        <v>166</v>
      </c>
      <c r="I125" s="71"/>
    </row>
    <row r="126" spans="1:9" s="72" customFormat="1" ht="18.75">
      <c r="A126" s="2" t="s">
        <v>110</v>
      </c>
      <c r="B126" s="1" t="s">
        <v>112</v>
      </c>
      <c r="C126" s="1" t="s">
        <v>341</v>
      </c>
      <c r="D126" s="12">
        <v>62.953</v>
      </c>
      <c r="E126" s="55">
        <f t="shared" si="3"/>
        <v>0</v>
      </c>
      <c r="F126" s="12">
        <f t="shared" si="4"/>
        <v>62.953</v>
      </c>
      <c r="G126" s="12">
        <v>62.953</v>
      </c>
      <c r="H126" s="56" t="s">
        <v>166</v>
      </c>
      <c r="I126" s="71"/>
    </row>
    <row r="127" spans="1:9" s="72" customFormat="1" ht="18.75">
      <c r="A127" s="2" t="s">
        <v>110</v>
      </c>
      <c r="B127" s="1" t="s">
        <v>112</v>
      </c>
      <c r="C127" s="1" t="s">
        <v>342</v>
      </c>
      <c r="D127" s="12">
        <v>62.953</v>
      </c>
      <c r="E127" s="55">
        <f t="shared" si="3"/>
        <v>0</v>
      </c>
      <c r="F127" s="12">
        <f t="shared" si="4"/>
        <v>62.953</v>
      </c>
      <c r="G127" s="12">
        <v>62.953</v>
      </c>
      <c r="H127" s="56" t="s">
        <v>166</v>
      </c>
      <c r="I127" s="71"/>
    </row>
    <row r="128" spans="1:9" s="72" customFormat="1" ht="18.75">
      <c r="A128" s="2" t="s">
        <v>110</v>
      </c>
      <c r="B128" s="1" t="s">
        <v>112</v>
      </c>
      <c r="C128" s="1" t="s">
        <v>343</v>
      </c>
      <c r="D128" s="12">
        <v>62.953</v>
      </c>
      <c r="E128" s="55">
        <f t="shared" si="3"/>
        <v>0</v>
      </c>
      <c r="F128" s="12">
        <f t="shared" si="4"/>
        <v>62.953</v>
      </c>
      <c r="G128" s="12">
        <v>62.953</v>
      </c>
      <c r="H128" s="56" t="s">
        <v>166</v>
      </c>
      <c r="I128" s="71"/>
    </row>
    <row r="129" spans="1:9" s="72" customFormat="1" ht="18.75">
      <c r="A129" s="2" t="s">
        <v>110</v>
      </c>
      <c r="B129" s="1" t="s">
        <v>112</v>
      </c>
      <c r="C129" s="1" t="s">
        <v>344</v>
      </c>
      <c r="D129" s="12">
        <v>62.953</v>
      </c>
      <c r="E129" s="55">
        <f t="shared" si="3"/>
        <v>0</v>
      </c>
      <c r="F129" s="12">
        <f t="shared" si="4"/>
        <v>62.953</v>
      </c>
      <c r="G129" s="12">
        <v>62.953</v>
      </c>
      <c r="H129" s="56" t="s">
        <v>166</v>
      </c>
      <c r="I129" s="71"/>
    </row>
    <row r="130" spans="1:9" s="72" customFormat="1" ht="18.75">
      <c r="A130" s="2" t="s">
        <v>110</v>
      </c>
      <c r="B130" s="1" t="s">
        <v>112</v>
      </c>
      <c r="C130" s="1" t="s">
        <v>345</v>
      </c>
      <c r="D130" s="12">
        <v>62.953</v>
      </c>
      <c r="E130" s="55">
        <f t="shared" si="3"/>
        <v>0</v>
      </c>
      <c r="F130" s="12">
        <f t="shared" si="4"/>
        <v>62.953</v>
      </c>
      <c r="G130" s="12">
        <v>62.953</v>
      </c>
      <c r="H130" s="56" t="s">
        <v>166</v>
      </c>
      <c r="I130" s="71"/>
    </row>
    <row r="131" spans="1:9" s="72" customFormat="1" ht="18.75">
      <c r="A131" s="2" t="s">
        <v>110</v>
      </c>
      <c r="B131" s="1" t="s">
        <v>112</v>
      </c>
      <c r="C131" s="1" t="s">
        <v>346</v>
      </c>
      <c r="D131" s="12">
        <v>62.953</v>
      </c>
      <c r="E131" s="55">
        <f t="shared" si="3"/>
        <v>0</v>
      </c>
      <c r="F131" s="12">
        <f t="shared" si="4"/>
        <v>62.953</v>
      </c>
      <c r="G131" s="12">
        <v>62.953</v>
      </c>
      <c r="H131" s="56" t="s">
        <v>166</v>
      </c>
      <c r="I131" s="71"/>
    </row>
    <row r="132" spans="1:9" s="72" customFormat="1" ht="18.75">
      <c r="A132" s="2" t="s">
        <v>110</v>
      </c>
      <c r="B132" s="1" t="s">
        <v>112</v>
      </c>
      <c r="C132" s="1" t="s">
        <v>347</v>
      </c>
      <c r="D132" s="12">
        <v>62.953</v>
      </c>
      <c r="E132" s="55">
        <f t="shared" si="3"/>
        <v>0</v>
      </c>
      <c r="F132" s="12">
        <f t="shared" si="4"/>
        <v>62.953</v>
      </c>
      <c r="G132" s="12">
        <v>62.953</v>
      </c>
      <c r="H132" s="56" t="s">
        <v>166</v>
      </c>
      <c r="I132" s="71"/>
    </row>
    <row r="133" spans="1:9" s="72" customFormat="1" ht="18.75">
      <c r="A133" s="2" t="s">
        <v>110</v>
      </c>
      <c r="B133" s="1" t="s">
        <v>112</v>
      </c>
      <c r="C133" s="1" t="s">
        <v>348</v>
      </c>
      <c r="D133" s="12">
        <v>62.953</v>
      </c>
      <c r="E133" s="55">
        <f t="shared" si="3"/>
        <v>0</v>
      </c>
      <c r="F133" s="12">
        <f t="shared" si="4"/>
        <v>62.953</v>
      </c>
      <c r="G133" s="12">
        <v>62.953</v>
      </c>
      <c r="H133" s="56" t="s">
        <v>166</v>
      </c>
      <c r="I133" s="71"/>
    </row>
    <row r="134" spans="1:9" s="72" customFormat="1" ht="18.75">
      <c r="A134" s="2" t="s">
        <v>110</v>
      </c>
      <c r="B134" s="1" t="s">
        <v>112</v>
      </c>
      <c r="C134" s="1" t="s">
        <v>349</v>
      </c>
      <c r="D134" s="12">
        <v>62.953</v>
      </c>
      <c r="E134" s="55">
        <f t="shared" si="3"/>
        <v>0</v>
      </c>
      <c r="F134" s="12">
        <f t="shared" si="4"/>
        <v>62.953</v>
      </c>
      <c r="G134" s="12">
        <v>62.953</v>
      </c>
      <c r="H134" s="56" t="s">
        <v>166</v>
      </c>
      <c r="I134" s="71"/>
    </row>
    <row r="135" spans="1:9" s="72" customFormat="1" ht="18.75">
      <c r="A135" s="2" t="s">
        <v>110</v>
      </c>
      <c r="B135" s="1" t="s">
        <v>112</v>
      </c>
      <c r="C135" s="1" t="s">
        <v>350</v>
      </c>
      <c r="D135" s="12">
        <v>62.953</v>
      </c>
      <c r="E135" s="55">
        <f t="shared" si="3"/>
        <v>0</v>
      </c>
      <c r="F135" s="12">
        <f t="shared" si="4"/>
        <v>62.953</v>
      </c>
      <c r="G135" s="12">
        <v>62.953</v>
      </c>
      <c r="H135" s="56" t="s">
        <v>166</v>
      </c>
      <c r="I135" s="71"/>
    </row>
    <row r="136" spans="1:9" s="72" customFormat="1" ht="18.75">
      <c r="A136" s="2" t="s">
        <v>110</v>
      </c>
      <c r="B136" s="1" t="s">
        <v>112</v>
      </c>
      <c r="C136" s="1" t="s">
        <v>351</v>
      </c>
      <c r="D136" s="12">
        <v>62.953</v>
      </c>
      <c r="E136" s="55">
        <f t="shared" si="3"/>
        <v>0</v>
      </c>
      <c r="F136" s="12">
        <f t="shared" si="4"/>
        <v>62.953</v>
      </c>
      <c r="G136" s="12">
        <v>62.953</v>
      </c>
      <c r="H136" s="56" t="s">
        <v>166</v>
      </c>
      <c r="I136" s="71"/>
    </row>
    <row r="137" spans="1:9" s="72" customFormat="1" ht="18.75">
      <c r="A137" s="2" t="s">
        <v>110</v>
      </c>
      <c r="B137" s="1" t="s">
        <v>112</v>
      </c>
      <c r="C137" s="1" t="s">
        <v>352</v>
      </c>
      <c r="D137" s="12">
        <v>62.953</v>
      </c>
      <c r="E137" s="55">
        <f t="shared" si="3"/>
        <v>0</v>
      </c>
      <c r="F137" s="12">
        <f t="shared" si="4"/>
        <v>62.953</v>
      </c>
      <c r="G137" s="12">
        <v>62.953</v>
      </c>
      <c r="H137" s="56" t="s">
        <v>166</v>
      </c>
      <c r="I137" s="71"/>
    </row>
    <row r="138" spans="1:9" s="72" customFormat="1" ht="18.75">
      <c r="A138" s="2" t="s">
        <v>110</v>
      </c>
      <c r="B138" s="1" t="s">
        <v>112</v>
      </c>
      <c r="C138" s="1" t="s">
        <v>353</v>
      </c>
      <c r="D138" s="12">
        <v>62.953</v>
      </c>
      <c r="E138" s="55">
        <f t="shared" si="3"/>
        <v>0</v>
      </c>
      <c r="F138" s="12">
        <f t="shared" si="4"/>
        <v>62.953</v>
      </c>
      <c r="G138" s="12">
        <v>62.953</v>
      </c>
      <c r="H138" s="56" t="s">
        <v>166</v>
      </c>
      <c r="I138" s="71"/>
    </row>
    <row r="139" spans="1:9" s="72" customFormat="1" ht="18.75">
      <c r="A139" s="2" t="s">
        <v>110</v>
      </c>
      <c r="B139" s="1" t="s">
        <v>112</v>
      </c>
      <c r="C139" s="1" t="s">
        <v>354</v>
      </c>
      <c r="D139" s="12">
        <v>62.953</v>
      </c>
      <c r="E139" s="55">
        <f t="shared" si="3"/>
        <v>0</v>
      </c>
      <c r="F139" s="12">
        <f t="shared" si="4"/>
        <v>62.953</v>
      </c>
      <c r="G139" s="12">
        <v>62.953</v>
      </c>
      <c r="H139" s="56" t="s">
        <v>166</v>
      </c>
      <c r="I139" s="71"/>
    </row>
    <row r="140" spans="1:9" s="72" customFormat="1" ht="18.75">
      <c r="A140" s="2" t="s">
        <v>110</v>
      </c>
      <c r="B140" s="1" t="s">
        <v>112</v>
      </c>
      <c r="C140" s="1" t="s">
        <v>355</v>
      </c>
      <c r="D140" s="12">
        <v>62.953</v>
      </c>
      <c r="E140" s="55">
        <f t="shared" si="3"/>
        <v>0</v>
      </c>
      <c r="F140" s="12">
        <f t="shared" si="4"/>
        <v>62.953</v>
      </c>
      <c r="G140" s="12">
        <v>62.953</v>
      </c>
      <c r="H140" s="56" t="s">
        <v>166</v>
      </c>
      <c r="I140" s="71"/>
    </row>
    <row r="141" spans="1:9" s="72" customFormat="1" ht="18.75">
      <c r="A141" s="2" t="s">
        <v>110</v>
      </c>
      <c r="B141" s="1" t="s">
        <v>112</v>
      </c>
      <c r="C141" s="1" t="s">
        <v>356</v>
      </c>
      <c r="D141" s="12">
        <v>62.953</v>
      </c>
      <c r="E141" s="55">
        <f t="shared" si="3"/>
        <v>0</v>
      </c>
      <c r="F141" s="12">
        <f t="shared" si="4"/>
        <v>62.953</v>
      </c>
      <c r="G141" s="12">
        <v>62.953</v>
      </c>
      <c r="H141" s="56" t="s">
        <v>166</v>
      </c>
      <c r="I141" s="71"/>
    </row>
    <row r="142" spans="1:9" s="72" customFormat="1" ht="18.75">
      <c r="A142" s="2" t="s">
        <v>110</v>
      </c>
      <c r="B142" s="1" t="s">
        <v>112</v>
      </c>
      <c r="C142" s="1" t="s">
        <v>357</v>
      </c>
      <c r="D142" s="12">
        <v>62.953</v>
      </c>
      <c r="E142" s="55">
        <f t="shared" si="3"/>
        <v>0</v>
      </c>
      <c r="F142" s="12">
        <f t="shared" si="4"/>
        <v>62.953</v>
      </c>
      <c r="G142" s="12">
        <v>62.953</v>
      </c>
      <c r="H142" s="56" t="s">
        <v>166</v>
      </c>
      <c r="I142" s="71"/>
    </row>
    <row r="143" spans="1:9" s="72" customFormat="1" ht="18.75">
      <c r="A143" s="2" t="s">
        <v>110</v>
      </c>
      <c r="B143" s="1" t="s">
        <v>112</v>
      </c>
      <c r="C143" s="1" t="s">
        <v>358</v>
      </c>
      <c r="D143" s="12">
        <v>62.953</v>
      </c>
      <c r="E143" s="55">
        <f t="shared" si="3"/>
        <v>0</v>
      </c>
      <c r="F143" s="12">
        <f t="shared" si="4"/>
        <v>62.953</v>
      </c>
      <c r="G143" s="12">
        <v>62.953</v>
      </c>
      <c r="H143" s="56" t="s">
        <v>166</v>
      </c>
      <c r="I143" s="71"/>
    </row>
    <row r="144" spans="1:9" s="72" customFormat="1" ht="18.75">
      <c r="A144" s="2" t="s">
        <v>110</v>
      </c>
      <c r="B144" s="1" t="s">
        <v>112</v>
      </c>
      <c r="C144" s="1" t="s">
        <v>359</v>
      </c>
      <c r="D144" s="12">
        <v>62.953</v>
      </c>
      <c r="E144" s="55">
        <f t="shared" si="3"/>
        <v>0</v>
      </c>
      <c r="F144" s="12">
        <f t="shared" si="4"/>
        <v>62.953</v>
      </c>
      <c r="G144" s="12">
        <v>62.953</v>
      </c>
      <c r="H144" s="56" t="s">
        <v>166</v>
      </c>
      <c r="I144" s="71"/>
    </row>
    <row r="145" spans="1:9" s="72" customFormat="1" ht="18.75">
      <c r="A145" s="2" t="s">
        <v>110</v>
      </c>
      <c r="B145" s="1" t="s">
        <v>112</v>
      </c>
      <c r="C145" s="1" t="s">
        <v>360</v>
      </c>
      <c r="D145" s="12">
        <v>62.953</v>
      </c>
      <c r="E145" s="55">
        <f t="shared" si="3"/>
        <v>0</v>
      </c>
      <c r="F145" s="12">
        <f t="shared" si="4"/>
        <v>62.953</v>
      </c>
      <c r="G145" s="12">
        <v>62.953</v>
      </c>
      <c r="H145" s="56" t="s">
        <v>166</v>
      </c>
      <c r="I145" s="71"/>
    </row>
    <row r="146" spans="1:9" s="72" customFormat="1" ht="18.75">
      <c r="A146" s="2" t="s">
        <v>110</v>
      </c>
      <c r="B146" s="1" t="s">
        <v>112</v>
      </c>
      <c r="C146" s="1" t="s">
        <v>361</v>
      </c>
      <c r="D146" s="12">
        <v>62.953</v>
      </c>
      <c r="E146" s="55">
        <f t="shared" si="3"/>
        <v>0</v>
      </c>
      <c r="F146" s="12">
        <f t="shared" si="4"/>
        <v>62.953</v>
      </c>
      <c r="G146" s="12">
        <v>62.953</v>
      </c>
      <c r="H146" s="56" t="s">
        <v>166</v>
      </c>
      <c r="I146" s="71"/>
    </row>
    <row r="147" spans="1:9" s="72" customFormat="1" ht="18.75">
      <c r="A147" s="2" t="s">
        <v>110</v>
      </c>
      <c r="B147" s="1" t="s">
        <v>112</v>
      </c>
      <c r="C147" s="1" t="s">
        <v>362</v>
      </c>
      <c r="D147" s="12">
        <v>62.953</v>
      </c>
      <c r="E147" s="55">
        <f t="shared" si="3"/>
        <v>0</v>
      </c>
      <c r="F147" s="12">
        <f t="shared" si="4"/>
        <v>62.953</v>
      </c>
      <c r="G147" s="12">
        <v>62.953</v>
      </c>
      <c r="H147" s="56" t="s">
        <v>166</v>
      </c>
      <c r="I147" s="71"/>
    </row>
    <row r="148" spans="1:9" s="72" customFormat="1" ht="18.75">
      <c r="A148" s="2" t="s">
        <v>110</v>
      </c>
      <c r="B148" s="1" t="s">
        <v>112</v>
      </c>
      <c r="C148" s="1" t="s">
        <v>363</v>
      </c>
      <c r="D148" s="12">
        <v>62.953</v>
      </c>
      <c r="E148" s="55">
        <f t="shared" si="3"/>
        <v>0</v>
      </c>
      <c r="F148" s="12">
        <f t="shared" si="4"/>
        <v>62.953</v>
      </c>
      <c r="G148" s="12">
        <v>62.953</v>
      </c>
      <c r="H148" s="56" t="s">
        <v>166</v>
      </c>
      <c r="I148" s="71"/>
    </row>
    <row r="149" spans="1:9" s="72" customFormat="1" ht="18.75">
      <c r="A149" s="2" t="s">
        <v>110</v>
      </c>
      <c r="B149" s="1" t="s">
        <v>112</v>
      </c>
      <c r="C149" s="1" t="s">
        <v>364</v>
      </c>
      <c r="D149" s="12">
        <v>62.953</v>
      </c>
      <c r="E149" s="55">
        <f t="shared" si="3"/>
        <v>0</v>
      </c>
      <c r="F149" s="12">
        <f t="shared" si="4"/>
        <v>62.953</v>
      </c>
      <c r="G149" s="12">
        <v>62.953</v>
      </c>
      <c r="H149" s="56" t="s">
        <v>166</v>
      </c>
      <c r="I149" s="71"/>
    </row>
    <row r="150" spans="1:9" s="72" customFormat="1" ht="18.75">
      <c r="A150" s="2" t="s">
        <v>110</v>
      </c>
      <c r="B150" s="1" t="s">
        <v>112</v>
      </c>
      <c r="C150" s="1" t="s">
        <v>365</v>
      </c>
      <c r="D150" s="12">
        <v>62.953</v>
      </c>
      <c r="E150" s="55">
        <f t="shared" si="3"/>
        <v>0</v>
      </c>
      <c r="F150" s="12">
        <f t="shared" si="4"/>
        <v>62.953</v>
      </c>
      <c r="G150" s="12">
        <v>62.953</v>
      </c>
      <c r="H150" s="56" t="s">
        <v>166</v>
      </c>
      <c r="I150" s="71"/>
    </row>
    <row r="151" spans="1:9" s="72" customFormat="1" ht="18.75">
      <c r="A151" s="2" t="s">
        <v>110</v>
      </c>
      <c r="B151" s="1" t="s">
        <v>112</v>
      </c>
      <c r="C151" s="1" t="s">
        <v>366</v>
      </c>
      <c r="D151" s="12">
        <v>62.953</v>
      </c>
      <c r="E151" s="55">
        <f t="shared" si="3"/>
        <v>0</v>
      </c>
      <c r="F151" s="12">
        <f t="shared" si="4"/>
        <v>62.953</v>
      </c>
      <c r="G151" s="12">
        <v>62.953</v>
      </c>
      <c r="H151" s="56" t="s">
        <v>166</v>
      </c>
      <c r="I151" s="71"/>
    </row>
    <row r="152" spans="1:9" s="72" customFormat="1" ht="18.75">
      <c r="A152" s="2" t="s">
        <v>110</v>
      </c>
      <c r="B152" s="1" t="s">
        <v>112</v>
      </c>
      <c r="C152" s="1" t="s">
        <v>367</v>
      </c>
      <c r="D152" s="12">
        <v>62.953</v>
      </c>
      <c r="E152" s="55">
        <f t="shared" si="3"/>
        <v>0</v>
      </c>
      <c r="F152" s="12">
        <f t="shared" si="4"/>
        <v>62.953</v>
      </c>
      <c r="G152" s="12">
        <v>62.953</v>
      </c>
      <c r="H152" s="56" t="s">
        <v>166</v>
      </c>
      <c r="I152" s="71"/>
    </row>
    <row r="153" spans="1:9" s="72" customFormat="1" ht="18.75">
      <c r="A153" s="2" t="s">
        <v>110</v>
      </c>
      <c r="B153" s="1" t="s">
        <v>112</v>
      </c>
      <c r="C153" s="1" t="s">
        <v>368</v>
      </c>
      <c r="D153" s="12">
        <v>62.953</v>
      </c>
      <c r="E153" s="55">
        <f t="shared" si="3"/>
        <v>0</v>
      </c>
      <c r="F153" s="12">
        <f t="shared" si="4"/>
        <v>62.953</v>
      </c>
      <c r="G153" s="12">
        <v>62.953</v>
      </c>
      <c r="H153" s="56" t="s">
        <v>166</v>
      </c>
      <c r="I153" s="71"/>
    </row>
    <row r="154" spans="1:9" s="72" customFormat="1" ht="18.75">
      <c r="A154" s="2" t="s">
        <v>110</v>
      </c>
      <c r="B154" s="1" t="s">
        <v>112</v>
      </c>
      <c r="C154" s="1" t="s">
        <v>369</v>
      </c>
      <c r="D154" s="12">
        <v>62.953</v>
      </c>
      <c r="E154" s="55">
        <f t="shared" si="3"/>
        <v>0</v>
      </c>
      <c r="F154" s="12">
        <f t="shared" si="4"/>
        <v>62.953</v>
      </c>
      <c r="G154" s="12">
        <v>62.953</v>
      </c>
      <c r="H154" s="56" t="s">
        <v>166</v>
      </c>
      <c r="I154" s="71"/>
    </row>
    <row r="155" spans="1:9" s="72" customFormat="1" ht="18.75">
      <c r="A155" s="2" t="s">
        <v>110</v>
      </c>
      <c r="B155" s="1" t="s">
        <v>112</v>
      </c>
      <c r="C155" s="1" t="s">
        <v>370</v>
      </c>
      <c r="D155" s="12">
        <v>62.953</v>
      </c>
      <c r="E155" s="55">
        <f t="shared" si="3"/>
        <v>0</v>
      </c>
      <c r="F155" s="12">
        <f t="shared" si="4"/>
        <v>62.953</v>
      </c>
      <c r="G155" s="12">
        <v>62.953</v>
      </c>
      <c r="H155" s="56" t="s">
        <v>166</v>
      </c>
      <c r="I155" s="71"/>
    </row>
    <row r="156" spans="1:9" s="72" customFormat="1" ht="18.75">
      <c r="A156" s="2" t="s">
        <v>110</v>
      </c>
      <c r="B156" s="1" t="s">
        <v>112</v>
      </c>
      <c r="C156" s="1" t="s">
        <v>371</v>
      </c>
      <c r="D156" s="12">
        <v>62.953</v>
      </c>
      <c r="E156" s="55">
        <f t="shared" si="3"/>
        <v>0</v>
      </c>
      <c r="F156" s="12">
        <f t="shared" si="4"/>
        <v>62.953</v>
      </c>
      <c r="G156" s="12">
        <v>62.953</v>
      </c>
      <c r="H156" s="56" t="s">
        <v>166</v>
      </c>
      <c r="I156" s="71"/>
    </row>
    <row r="157" spans="1:9" s="72" customFormat="1" ht="18.75">
      <c r="A157" s="2" t="s">
        <v>110</v>
      </c>
      <c r="B157" s="1" t="s">
        <v>112</v>
      </c>
      <c r="C157" s="1" t="s">
        <v>372</v>
      </c>
      <c r="D157" s="12">
        <v>62.953</v>
      </c>
      <c r="E157" s="55">
        <f t="shared" si="3"/>
        <v>0</v>
      </c>
      <c r="F157" s="12">
        <f t="shared" si="4"/>
        <v>62.953</v>
      </c>
      <c r="G157" s="12">
        <v>62.953</v>
      </c>
      <c r="H157" s="56" t="s">
        <v>166</v>
      </c>
      <c r="I157" s="71"/>
    </row>
    <row r="158" spans="1:9" s="72" customFormat="1" ht="18.75">
      <c r="A158" s="2" t="s">
        <v>110</v>
      </c>
      <c r="B158" s="1" t="s">
        <v>112</v>
      </c>
      <c r="C158" s="1" t="s">
        <v>373</v>
      </c>
      <c r="D158" s="12">
        <v>62.953</v>
      </c>
      <c r="E158" s="55">
        <f t="shared" si="3"/>
        <v>0</v>
      </c>
      <c r="F158" s="12">
        <f t="shared" si="4"/>
        <v>62.953</v>
      </c>
      <c r="G158" s="12">
        <v>62.953</v>
      </c>
      <c r="H158" s="56" t="s">
        <v>166</v>
      </c>
      <c r="I158" s="71"/>
    </row>
    <row r="159" spans="1:9" s="72" customFormat="1" ht="18.75">
      <c r="A159" s="2" t="s">
        <v>110</v>
      </c>
      <c r="B159" s="1" t="s">
        <v>112</v>
      </c>
      <c r="C159" s="1" t="s">
        <v>374</v>
      </c>
      <c r="D159" s="12">
        <v>62.953</v>
      </c>
      <c r="E159" s="55">
        <f t="shared" si="3"/>
        <v>0</v>
      </c>
      <c r="F159" s="12">
        <f t="shared" si="4"/>
        <v>62.953</v>
      </c>
      <c r="G159" s="12">
        <v>62.953</v>
      </c>
      <c r="H159" s="56" t="s">
        <v>166</v>
      </c>
      <c r="I159" s="71"/>
    </row>
    <row r="160" spans="1:9" s="72" customFormat="1" ht="18.75">
      <c r="A160" s="2" t="s">
        <v>110</v>
      </c>
      <c r="B160" s="1" t="s">
        <v>112</v>
      </c>
      <c r="C160" s="1" t="s">
        <v>375</v>
      </c>
      <c r="D160" s="12">
        <v>62.953</v>
      </c>
      <c r="E160" s="55">
        <f t="shared" si="3"/>
        <v>0</v>
      </c>
      <c r="F160" s="12">
        <f t="shared" si="4"/>
        <v>62.953</v>
      </c>
      <c r="G160" s="12">
        <v>62.953</v>
      </c>
      <c r="H160" s="56" t="s">
        <v>166</v>
      </c>
      <c r="I160" s="71"/>
    </row>
    <row r="161" spans="1:9" s="72" customFormat="1" ht="18.75">
      <c r="A161" s="2" t="s">
        <v>110</v>
      </c>
      <c r="B161" s="1" t="s">
        <v>112</v>
      </c>
      <c r="C161" s="1" t="s">
        <v>376</v>
      </c>
      <c r="D161" s="12">
        <v>62.953</v>
      </c>
      <c r="E161" s="55">
        <f t="shared" si="3"/>
        <v>0</v>
      </c>
      <c r="F161" s="12">
        <f t="shared" si="4"/>
        <v>62.953</v>
      </c>
      <c r="G161" s="12">
        <v>62.953</v>
      </c>
      <c r="H161" s="56" t="s">
        <v>166</v>
      </c>
      <c r="I161" s="71"/>
    </row>
    <row r="162" spans="1:9" s="72" customFormat="1" ht="18.75">
      <c r="A162" s="2" t="s">
        <v>110</v>
      </c>
      <c r="B162" s="1" t="s">
        <v>112</v>
      </c>
      <c r="C162" s="1" t="s">
        <v>377</v>
      </c>
      <c r="D162" s="12">
        <v>62.953</v>
      </c>
      <c r="E162" s="55">
        <f t="shared" si="3"/>
        <v>0</v>
      </c>
      <c r="F162" s="12">
        <f t="shared" si="4"/>
        <v>62.953</v>
      </c>
      <c r="G162" s="12">
        <v>62.953</v>
      </c>
      <c r="H162" s="56" t="s">
        <v>166</v>
      </c>
      <c r="I162" s="71"/>
    </row>
    <row r="163" spans="1:9" s="72" customFormat="1" ht="18.75">
      <c r="A163" s="2" t="s">
        <v>110</v>
      </c>
      <c r="B163" s="1" t="s">
        <v>112</v>
      </c>
      <c r="C163" s="1" t="s">
        <v>378</v>
      </c>
      <c r="D163" s="12">
        <v>62.953</v>
      </c>
      <c r="E163" s="55">
        <f t="shared" si="3"/>
        <v>0</v>
      </c>
      <c r="F163" s="12">
        <f t="shared" si="4"/>
        <v>62.953</v>
      </c>
      <c r="G163" s="12">
        <v>62.953</v>
      </c>
      <c r="H163" s="56" t="s">
        <v>166</v>
      </c>
      <c r="I163" s="71"/>
    </row>
    <row r="164" spans="1:9" s="72" customFormat="1" ht="18.75">
      <c r="A164" s="2" t="s">
        <v>110</v>
      </c>
      <c r="B164" s="1" t="s">
        <v>112</v>
      </c>
      <c r="C164" s="1" t="s">
        <v>379</v>
      </c>
      <c r="D164" s="12">
        <v>62.953</v>
      </c>
      <c r="E164" s="55">
        <f t="shared" si="3"/>
        <v>0</v>
      </c>
      <c r="F164" s="12">
        <f t="shared" si="4"/>
        <v>62.953</v>
      </c>
      <c r="G164" s="12">
        <v>62.953</v>
      </c>
      <c r="H164" s="56" t="s">
        <v>166</v>
      </c>
      <c r="I164" s="71"/>
    </row>
    <row r="165" spans="1:9" s="72" customFormat="1" ht="18.75">
      <c r="A165" s="2" t="s">
        <v>110</v>
      </c>
      <c r="B165" s="1" t="s">
        <v>112</v>
      </c>
      <c r="C165" s="1" t="s">
        <v>10</v>
      </c>
      <c r="D165" s="12">
        <v>62.953</v>
      </c>
      <c r="E165" s="55">
        <f aca="true" t="shared" si="5" ref="E165:E190">100-(F165/D165)*100</f>
        <v>0</v>
      </c>
      <c r="F165" s="12">
        <f aca="true" t="shared" si="6" ref="F165:F190">SUM(D165)</f>
        <v>62.953</v>
      </c>
      <c r="G165" s="12">
        <v>62.953</v>
      </c>
      <c r="H165" s="56" t="s">
        <v>166</v>
      </c>
      <c r="I165" s="71"/>
    </row>
    <row r="166" spans="1:9" s="72" customFormat="1" ht="18.75">
      <c r="A166" s="2" t="s">
        <v>110</v>
      </c>
      <c r="B166" s="1" t="s">
        <v>112</v>
      </c>
      <c r="C166" s="1" t="s">
        <v>11</v>
      </c>
      <c r="D166" s="12">
        <v>62.953</v>
      </c>
      <c r="E166" s="55">
        <f t="shared" si="5"/>
        <v>0</v>
      </c>
      <c r="F166" s="12">
        <f t="shared" si="6"/>
        <v>62.953</v>
      </c>
      <c r="G166" s="12">
        <v>62.953</v>
      </c>
      <c r="H166" s="56" t="s">
        <v>166</v>
      </c>
      <c r="I166" s="71"/>
    </row>
    <row r="167" spans="1:9" s="72" customFormat="1" ht="18.75">
      <c r="A167" s="2" t="s">
        <v>110</v>
      </c>
      <c r="B167" s="1" t="s">
        <v>112</v>
      </c>
      <c r="C167" s="1" t="s">
        <v>12</v>
      </c>
      <c r="D167" s="12">
        <v>62.953</v>
      </c>
      <c r="E167" s="55">
        <f t="shared" si="5"/>
        <v>0</v>
      </c>
      <c r="F167" s="12">
        <f t="shared" si="6"/>
        <v>62.953</v>
      </c>
      <c r="G167" s="12">
        <v>62.953</v>
      </c>
      <c r="H167" s="56" t="s">
        <v>166</v>
      </c>
      <c r="I167" s="71"/>
    </row>
    <row r="168" spans="1:9" s="72" customFormat="1" ht="18.75">
      <c r="A168" s="2" t="s">
        <v>110</v>
      </c>
      <c r="B168" s="1" t="s">
        <v>112</v>
      </c>
      <c r="C168" s="1" t="s">
        <v>13</v>
      </c>
      <c r="D168" s="12">
        <v>62.953</v>
      </c>
      <c r="E168" s="55">
        <f t="shared" si="5"/>
        <v>0</v>
      </c>
      <c r="F168" s="12">
        <f t="shared" si="6"/>
        <v>62.953</v>
      </c>
      <c r="G168" s="12">
        <v>62.953</v>
      </c>
      <c r="H168" s="56" t="s">
        <v>166</v>
      </c>
      <c r="I168" s="71"/>
    </row>
    <row r="169" spans="1:9" s="72" customFormat="1" ht="18.75">
      <c r="A169" s="2" t="s">
        <v>110</v>
      </c>
      <c r="B169" s="1" t="s">
        <v>112</v>
      </c>
      <c r="C169" s="1" t="s">
        <v>14</v>
      </c>
      <c r="D169" s="12">
        <v>62.953</v>
      </c>
      <c r="E169" s="55">
        <f t="shared" si="5"/>
        <v>0</v>
      </c>
      <c r="F169" s="12">
        <f t="shared" si="6"/>
        <v>62.953</v>
      </c>
      <c r="G169" s="12">
        <v>62.953</v>
      </c>
      <c r="H169" s="56" t="s">
        <v>166</v>
      </c>
      <c r="I169" s="71"/>
    </row>
    <row r="170" spans="1:9" s="72" customFormat="1" ht="18.75">
      <c r="A170" s="2" t="s">
        <v>110</v>
      </c>
      <c r="B170" s="1" t="s">
        <v>112</v>
      </c>
      <c r="C170" s="1" t="s">
        <v>15</v>
      </c>
      <c r="D170" s="12">
        <v>62.953</v>
      </c>
      <c r="E170" s="55">
        <f t="shared" si="5"/>
        <v>0</v>
      </c>
      <c r="F170" s="12">
        <f t="shared" si="6"/>
        <v>62.953</v>
      </c>
      <c r="G170" s="12">
        <v>62.953</v>
      </c>
      <c r="H170" s="56" t="s">
        <v>166</v>
      </c>
      <c r="I170" s="71"/>
    </row>
    <row r="171" spans="1:9" s="72" customFormat="1" ht="18.75">
      <c r="A171" s="2" t="s">
        <v>110</v>
      </c>
      <c r="B171" s="1" t="s">
        <v>112</v>
      </c>
      <c r="C171" s="1" t="s">
        <v>16</v>
      </c>
      <c r="D171" s="12">
        <v>62.953</v>
      </c>
      <c r="E171" s="55">
        <f t="shared" si="5"/>
        <v>0</v>
      </c>
      <c r="F171" s="12">
        <f t="shared" si="6"/>
        <v>62.953</v>
      </c>
      <c r="G171" s="12">
        <v>62.953</v>
      </c>
      <c r="H171" s="56" t="s">
        <v>166</v>
      </c>
      <c r="I171" s="71"/>
    </row>
    <row r="172" spans="1:9" s="72" customFormat="1" ht="18.75">
      <c r="A172" s="2" t="s">
        <v>110</v>
      </c>
      <c r="B172" s="1" t="s">
        <v>112</v>
      </c>
      <c r="C172" s="1" t="s">
        <v>17</v>
      </c>
      <c r="D172" s="12">
        <v>62.953</v>
      </c>
      <c r="E172" s="55">
        <f t="shared" si="5"/>
        <v>0</v>
      </c>
      <c r="F172" s="12">
        <f t="shared" si="6"/>
        <v>62.953</v>
      </c>
      <c r="G172" s="12">
        <v>62.953</v>
      </c>
      <c r="H172" s="56" t="s">
        <v>166</v>
      </c>
      <c r="I172" s="71"/>
    </row>
    <row r="173" spans="1:9" s="72" customFormat="1" ht="18.75">
      <c r="A173" s="2" t="s">
        <v>110</v>
      </c>
      <c r="B173" s="1" t="s">
        <v>112</v>
      </c>
      <c r="C173" s="1" t="s">
        <v>18</v>
      </c>
      <c r="D173" s="12">
        <v>62.953</v>
      </c>
      <c r="E173" s="55">
        <f t="shared" si="5"/>
        <v>0</v>
      </c>
      <c r="F173" s="12">
        <f t="shared" si="6"/>
        <v>62.953</v>
      </c>
      <c r="G173" s="12">
        <v>62.953</v>
      </c>
      <c r="H173" s="56" t="s">
        <v>166</v>
      </c>
      <c r="I173" s="71"/>
    </row>
    <row r="174" spans="1:9" s="72" customFormat="1" ht="18.75">
      <c r="A174" s="2" t="s">
        <v>110</v>
      </c>
      <c r="B174" s="1" t="s">
        <v>112</v>
      </c>
      <c r="C174" s="1" t="s">
        <v>19</v>
      </c>
      <c r="D174" s="12">
        <v>62.953</v>
      </c>
      <c r="E174" s="55">
        <f t="shared" si="5"/>
        <v>0</v>
      </c>
      <c r="F174" s="12">
        <f t="shared" si="6"/>
        <v>62.953</v>
      </c>
      <c r="G174" s="12">
        <v>62.953</v>
      </c>
      <c r="H174" s="56" t="s">
        <v>166</v>
      </c>
      <c r="I174" s="71"/>
    </row>
    <row r="175" spans="1:9" s="72" customFormat="1" ht="18.75">
      <c r="A175" s="2" t="s">
        <v>110</v>
      </c>
      <c r="B175" s="1" t="s">
        <v>112</v>
      </c>
      <c r="C175" s="1" t="s">
        <v>20</v>
      </c>
      <c r="D175" s="12">
        <v>62.953</v>
      </c>
      <c r="E175" s="55">
        <f t="shared" si="5"/>
        <v>0</v>
      </c>
      <c r="F175" s="12">
        <f t="shared" si="6"/>
        <v>62.953</v>
      </c>
      <c r="G175" s="12">
        <v>62.953</v>
      </c>
      <c r="H175" s="56" t="s">
        <v>166</v>
      </c>
      <c r="I175" s="71"/>
    </row>
    <row r="176" spans="1:9" s="72" customFormat="1" ht="18.75">
      <c r="A176" s="2" t="s">
        <v>110</v>
      </c>
      <c r="B176" s="1" t="s">
        <v>112</v>
      </c>
      <c r="C176" s="1" t="s">
        <v>21</v>
      </c>
      <c r="D176" s="12">
        <v>62.953</v>
      </c>
      <c r="E176" s="55">
        <f t="shared" si="5"/>
        <v>0</v>
      </c>
      <c r="F176" s="12">
        <f t="shared" si="6"/>
        <v>62.953</v>
      </c>
      <c r="G176" s="12">
        <v>62.953</v>
      </c>
      <c r="H176" s="56" t="s">
        <v>166</v>
      </c>
      <c r="I176" s="71"/>
    </row>
    <row r="177" spans="1:9" s="72" customFormat="1" ht="18.75">
      <c r="A177" s="2" t="s">
        <v>110</v>
      </c>
      <c r="B177" s="1" t="s">
        <v>112</v>
      </c>
      <c r="C177" s="1" t="s">
        <v>22</v>
      </c>
      <c r="D177" s="12">
        <v>62.953</v>
      </c>
      <c r="E177" s="55">
        <f t="shared" si="5"/>
        <v>0</v>
      </c>
      <c r="F177" s="12">
        <f t="shared" si="6"/>
        <v>62.953</v>
      </c>
      <c r="G177" s="12">
        <v>62.953</v>
      </c>
      <c r="H177" s="56" t="s">
        <v>166</v>
      </c>
      <c r="I177" s="71"/>
    </row>
    <row r="178" spans="1:9" s="72" customFormat="1" ht="18.75">
      <c r="A178" s="2" t="s">
        <v>110</v>
      </c>
      <c r="B178" s="1" t="s">
        <v>112</v>
      </c>
      <c r="C178" s="1" t="s">
        <v>23</v>
      </c>
      <c r="D178" s="12">
        <v>62.953</v>
      </c>
      <c r="E178" s="55">
        <f t="shared" si="5"/>
        <v>0</v>
      </c>
      <c r="F178" s="12">
        <f t="shared" si="6"/>
        <v>62.953</v>
      </c>
      <c r="G178" s="12">
        <v>62.953</v>
      </c>
      <c r="H178" s="56" t="s">
        <v>166</v>
      </c>
      <c r="I178" s="71"/>
    </row>
    <row r="179" spans="1:9" s="72" customFormat="1" ht="18.75">
      <c r="A179" s="2" t="s">
        <v>110</v>
      </c>
      <c r="B179" s="1" t="s">
        <v>112</v>
      </c>
      <c r="C179" s="1" t="s">
        <v>24</v>
      </c>
      <c r="D179" s="12">
        <v>62.953</v>
      </c>
      <c r="E179" s="55">
        <f t="shared" si="5"/>
        <v>0</v>
      </c>
      <c r="F179" s="12">
        <f t="shared" si="6"/>
        <v>62.953</v>
      </c>
      <c r="G179" s="12">
        <v>62.953</v>
      </c>
      <c r="H179" s="56" t="s">
        <v>166</v>
      </c>
      <c r="I179" s="71"/>
    </row>
    <row r="180" spans="1:9" s="72" customFormat="1" ht="18.75">
      <c r="A180" s="2" t="s">
        <v>110</v>
      </c>
      <c r="B180" s="1" t="s">
        <v>112</v>
      </c>
      <c r="C180" s="1" t="s">
        <v>25</v>
      </c>
      <c r="D180" s="12">
        <v>62.953</v>
      </c>
      <c r="E180" s="55">
        <f t="shared" si="5"/>
        <v>0</v>
      </c>
      <c r="F180" s="12">
        <f t="shared" si="6"/>
        <v>62.953</v>
      </c>
      <c r="G180" s="12">
        <v>62.953</v>
      </c>
      <c r="H180" s="56" t="s">
        <v>166</v>
      </c>
      <c r="I180" s="71"/>
    </row>
    <row r="181" spans="1:9" s="72" customFormat="1" ht="18.75">
      <c r="A181" s="2" t="s">
        <v>110</v>
      </c>
      <c r="B181" s="1" t="s">
        <v>112</v>
      </c>
      <c r="C181" s="1" t="s">
        <v>26</v>
      </c>
      <c r="D181" s="12">
        <v>62.953</v>
      </c>
      <c r="E181" s="55">
        <f t="shared" si="5"/>
        <v>0</v>
      </c>
      <c r="F181" s="12">
        <f t="shared" si="6"/>
        <v>62.953</v>
      </c>
      <c r="G181" s="12">
        <v>62.953</v>
      </c>
      <c r="H181" s="56" t="s">
        <v>166</v>
      </c>
      <c r="I181" s="71"/>
    </row>
    <row r="182" spans="1:9" s="72" customFormat="1" ht="18.75">
      <c r="A182" s="2" t="s">
        <v>110</v>
      </c>
      <c r="B182" s="1" t="s">
        <v>112</v>
      </c>
      <c r="C182" s="1" t="s">
        <v>27</v>
      </c>
      <c r="D182" s="12">
        <v>62.953</v>
      </c>
      <c r="E182" s="55">
        <f t="shared" si="5"/>
        <v>0</v>
      </c>
      <c r="F182" s="12">
        <f t="shared" si="6"/>
        <v>62.953</v>
      </c>
      <c r="G182" s="12">
        <v>62.953</v>
      </c>
      <c r="H182" s="56" t="s">
        <v>166</v>
      </c>
      <c r="I182" s="71"/>
    </row>
    <row r="183" spans="1:9" s="72" customFormat="1" ht="18.75">
      <c r="A183" s="2" t="s">
        <v>110</v>
      </c>
      <c r="B183" s="1" t="s">
        <v>112</v>
      </c>
      <c r="C183" s="1" t="s">
        <v>28</v>
      </c>
      <c r="D183" s="12">
        <v>62.953</v>
      </c>
      <c r="E183" s="55">
        <f t="shared" si="5"/>
        <v>0</v>
      </c>
      <c r="F183" s="12">
        <f t="shared" si="6"/>
        <v>62.953</v>
      </c>
      <c r="G183" s="12">
        <v>62.953</v>
      </c>
      <c r="H183" s="56" t="s">
        <v>166</v>
      </c>
      <c r="I183" s="71"/>
    </row>
    <row r="184" spans="1:9" s="72" customFormat="1" ht="18.75">
      <c r="A184" s="2" t="s">
        <v>110</v>
      </c>
      <c r="B184" s="1" t="s">
        <v>112</v>
      </c>
      <c r="C184" s="1" t="s">
        <v>29</v>
      </c>
      <c r="D184" s="12">
        <v>62.953</v>
      </c>
      <c r="E184" s="55">
        <f t="shared" si="5"/>
        <v>0</v>
      </c>
      <c r="F184" s="12">
        <f t="shared" si="6"/>
        <v>62.953</v>
      </c>
      <c r="G184" s="12">
        <v>62.953</v>
      </c>
      <c r="H184" s="56" t="s">
        <v>166</v>
      </c>
      <c r="I184" s="71"/>
    </row>
    <row r="185" spans="1:9" s="72" customFormat="1" ht="18.75">
      <c r="A185" s="2" t="s">
        <v>110</v>
      </c>
      <c r="B185" s="1" t="s">
        <v>112</v>
      </c>
      <c r="C185" s="1" t="s">
        <v>30</v>
      </c>
      <c r="D185" s="12">
        <v>62.953</v>
      </c>
      <c r="E185" s="55">
        <f t="shared" si="5"/>
        <v>0</v>
      </c>
      <c r="F185" s="12">
        <f t="shared" si="6"/>
        <v>62.953</v>
      </c>
      <c r="G185" s="12">
        <v>62.953</v>
      </c>
      <c r="H185" s="56" t="s">
        <v>166</v>
      </c>
      <c r="I185" s="71"/>
    </row>
    <row r="186" spans="1:9" s="72" customFormat="1" ht="18.75">
      <c r="A186" s="2" t="s">
        <v>110</v>
      </c>
      <c r="B186" s="1" t="s">
        <v>112</v>
      </c>
      <c r="C186" s="1" t="s">
        <v>31</v>
      </c>
      <c r="D186" s="12">
        <v>62.953</v>
      </c>
      <c r="E186" s="55">
        <f t="shared" si="5"/>
        <v>0</v>
      </c>
      <c r="F186" s="12">
        <f t="shared" si="6"/>
        <v>62.953</v>
      </c>
      <c r="G186" s="12">
        <v>62.953</v>
      </c>
      <c r="H186" s="56" t="s">
        <v>166</v>
      </c>
      <c r="I186" s="71"/>
    </row>
    <row r="187" spans="1:9" s="72" customFormat="1" ht="18.75">
      <c r="A187" s="2" t="s">
        <v>110</v>
      </c>
      <c r="B187" s="1" t="s">
        <v>112</v>
      </c>
      <c r="C187" s="1" t="s">
        <v>32</v>
      </c>
      <c r="D187" s="12">
        <v>62.953</v>
      </c>
      <c r="E187" s="55">
        <f t="shared" si="5"/>
        <v>0</v>
      </c>
      <c r="F187" s="12">
        <f t="shared" si="6"/>
        <v>62.953</v>
      </c>
      <c r="G187" s="12">
        <v>62.953</v>
      </c>
      <c r="H187" s="56" t="s">
        <v>166</v>
      </c>
      <c r="I187" s="71"/>
    </row>
    <row r="188" spans="1:9" s="72" customFormat="1" ht="18.75">
      <c r="A188" s="2" t="s">
        <v>110</v>
      </c>
      <c r="B188" s="1" t="s">
        <v>112</v>
      </c>
      <c r="C188" s="1" t="s">
        <v>33</v>
      </c>
      <c r="D188" s="12">
        <v>62.943</v>
      </c>
      <c r="E188" s="55">
        <f t="shared" si="5"/>
        <v>0</v>
      </c>
      <c r="F188" s="12">
        <f t="shared" si="6"/>
        <v>62.943</v>
      </c>
      <c r="G188" s="12">
        <v>62.943</v>
      </c>
      <c r="H188" s="56" t="s">
        <v>166</v>
      </c>
      <c r="I188" s="71"/>
    </row>
    <row r="189" spans="1:9" s="72" customFormat="1" ht="18.75">
      <c r="A189" s="2" t="s">
        <v>110</v>
      </c>
      <c r="B189" s="1" t="s">
        <v>112</v>
      </c>
      <c r="C189" s="1" t="s">
        <v>34</v>
      </c>
      <c r="D189" s="12">
        <v>62.953</v>
      </c>
      <c r="E189" s="55">
        <f t="shared" si="5"/>
        <v>0</v>
      </c>
      <c r="F189" s="12">
        <f t="shared" si="6"/>
        <v>62.953</v>
      </c>
      <c r="G189" s="12">
        <v>62.953</v>
      </c>
      <c r="H189" s="56" t="s">
        <v>166</v>
      </c>
      <c r="I189" s="71"/>
    </row>
    <row r="190" spans="1:9" s="72" customFormat="1" ht="18.75">
      <c r="A190" s="2" t="s">
        <v>110</v>
      </c>
      <c r="B190" s="1" t="s">
        <v>112</v>
      </c>
      <c r="C190" s="1" t="s">
        <v>35</v>
      </c>
      <c r="D190" s="12">
        <v>62.953</v>
      </c>
      <c r="E190" s="55">
        <f t="shared" si="5"/>
        <v>0</v>
      </c>
      <c r="F190" s="12">
        <f t="shared" si="6"/>
        <v>62.953</v>
      </c>
      <c r="G190" s="12">
        <v>62.953</v>
      </c>
      <c r="H190" s="56" t="s">
        <v>166</v>
      </c>
      <c r="I190" s="71"/>
    </row>
    <row r="191" spans="1:9" ht="30" customHeight="1">
      <c r="A191" s="131" t="s">
        <v>110</v>
      </c>
      <c r="B191" s="132" t="s">
        <v>112</v>
      </c>
      <c r="C191" s="1" t="s">
        <v>217</v>
      </c>
      <c r="D191" s="12">
        <f>SUM(D193:D227)</f>
        <v>1487.5</v>
      </c>
      <c r="E191" s="55">
        <f>100-(F191/D191)*100</f>
        <v>0</v>
      </c>
      <c r="F191" s="12">
        <f>SUM(F193:F227)</f>
        <v>1487.5</v>
      </c>
      <c r="G191" s="12">
        <f>SUM(G193:G227)</f>
        <v>1487.5</v>
      </c>
      <c r="H191" s="133" t="s">
        <v>166</v>
      </c>
      <c r="I191" s="60"/>
    </row>
    <row r="192" spans="1:9" s="72" customFormat="1" ht="21" customHeight="1">
      <c r="A192" s="131"/>
      <c r="B192" s="132"/>
      <c r="C192" s="1" t="s">
        <v>336</v>
      </c>
      <c r="D192" s="27"/>
      <c r="E192" s="70"/>
      <c r="F192" s="27"/>
      <c r="G192" s="27"/>
      <c r="H192" s="133"/>
      <c r="I192" s="71"/>
    </row>
    <row r="193" spans="1:9" s="72" customFormat="1" ht="18.75">
      <c r="A193" s="2" t="s">
        <v>110</v>
      </c>
      <c r="B193" s="1" t="s">
        <v>112</v>
      </c>
      <c r="C193" s="1" t="s">
        <v>380</v>
      </c>
      <c r="D193" s="12">
        <v>42.5</v>
      </c>
      <c r="E193" s="55">
        <f aca="true" t="shared" si="7" ref="E193:E211">100-(F193/D193)*100</f>
        <v>0</v>
      </c>
      <c r="F193" s="12">
        <f>SUM(D193)</f>
        <v>42.5</v>
      </c>
      <c r="G193" s="12">
        <v>42.5</v>
      </c>
      <c r="H193" s="56" t="s">
        <v>166</v>
      </c>
      <c r="I193" s="71"/>
    </row>
    <row r="194" spans="1:9" s="72" customFormat="1" ht="18.75">
      <c r="A194" s="2" t="s">
        <v>110</v>
      </c>
      <c r="B194" s="1" t="s">
        <v>112</v>
      </c>
      <c r="C194" s="1" t="s">
        <v>381</v>
      </c>
      <c r="D194" s="12">
        <v>42.5</v>
      </c>
      <c r="E194" s="55">
        <f t="shared" si="7"/>
        <v>0</v>
      </c>
      <c r="F194" s="12">
        <f aca="true" t="shared" si="8" ref="F194:F211">SUM(D194)</f>
        <v>42.5</v>
      </c>
      <c r="G194" s="12">
        <v>42.5</v>
      </c>
      <c r="H194" s="56" t="s">
        <v>166</v>
      </c>
      <c r="I194" s="71"/>
    </row>
    <row r="195" spans="1:9" s="72" customFormat="1" ht="18.75">
      <c r="A195" s="2" t="s">
        <v>110</v>
      </c>
      <c r="B195" s="1" t="s">
        <v>112</v>
      </c>
      <c r="C195" s="1" t="s">
        <v>382</v>
      </c>
      <c r="D195" s="12">
        <v>42.5</v>
      </c>
      <c r="E195" s="55">
        <f t="shared" si="7"/>
        <v>0</v>
      </c>
      <c r="F195" s="12">
        <f t="shared" si="8"/>
        <v>42.5</v>
      </c>
      <c r="G195" s="12">
        <v>42.5</v>
      </c>
      <c r="H195" s="56" t="s">
        <v>166</v>
      </c>
      <c r="I195" s="71"/>
    </row>
    <row r="196" spans="1:9" s="72" customFormat="1" ht="18.75">
      <c r="A196" s="2" t="s">
        <v>110</v>
      </c>
      <c r="B196" s="1" t="s">
        <v>112</v>
      </c>
      <c r="C196" s="1" t="s">
        <v>383</v>
      </c>
      <c r="D196" s="12">
        <v>42.5</v>
      </c>
      <c r="E196" s="55">
        <f t="shared" si="7"/>
        <v>0</v>
      </c>
      <c r="F196" s="12">
        <f t="shared" si="8"/>
        <v>42.5</v>
      </c>
      <c r="G196" s="12">
        <v>42.5</v>
      </c>
      <c r="H196" s="56" t="s">
        <v>166</v>
      </c>
      <c r="I196" s="71"/>
    </row>
    <row r="197" spans="1:9" s="72" customFormat="1" ht="18.75">
      <c r="A197" s="2" t="s">
        <v>110</v>
      </c>
      <c r="B197" s="1" t="s">
        <v>112</v>
      </c>
      <c r="C197" s="1" t="s">
        <v>384</v>
      </c>
      <c r="D197" s="12">
        <v>42.5</v>
      </c>
      <c r="E197" s="55">
        <f t="shared" si="7"/>
        <v>0</v>
      </c>
      <c r="F197" s="12">
        <f t="shared" si="8"/>
        <v>42.5</v>
      </c>
      <c r="G197" s="12">
        <v>42.5</v>
      </c>
      <c r="H197" s="56" t="s">
        <v>166</v>
      </c>
      <c r="I197" s="71"/>
    </row>
    <row r="198" spans="1:9" s="72" customFormat="1" ht="18.75">
      <c r="A198" s="2" t="s">
        <v>110</v>
      </c>
      <c r="B198" s="1" t="s">
        <v>112</v>
      </c>
      <c r="C198" s="1" t="s">
        <v>385</v>
      </c>
      <c r="D198" s="12">
        <v>42.5</v>
      </c>
      <c r="E198" s="55">
        <f t="shared" si="7"/>
        <v>0</v>
      </c>
      <c r="F198" s="12">
        <f t="shared" si="8"/>
        <v>42.5</v>
      </c>
      <c r="G198" s="12">
        <v>42.5</v>
      </c>
      <c r="H198" s="56" t="s">
        <v>166</v>
      </c>
      <c r="I198" s="71"/>
    </row>
    <row r="199" spans="1:9" s="72" customFormat="1" ht="18.75">
      <c r="A199" s="2" t="s">
        <v>110</v>
      </c>
      <c r="B199" s="1" t="s">
        <v>112</v>
      </c>
      <c r="C199" s="1" t="s">
        <v>386</v>
      </c>
      <c r="D199" s="12">
        <v>42.5</v>
      </c>
      <c r="E199" s="55">
        <f t="shared" si="7"/>
        <v>0</v>
      </c>
      <c r="F199" s="12">
        <f t="shared" si="8"/>
        <v>42.5</v>
      </c>
      <c r="G199" s="12">
        <v>42.5</v>
      </c>
      <c r="H199" s="56" t="s">
        <v>166</v>
      </c>
      <c r="I199" s="71"/>
    </row>
    <row r="200" spans="1:9" s="72" customFormat="1" ht="18.75">
      <c r="A200" s="2" t="s">
        <v>110</v>
      </c>
      <c r="B200" s="1" t="s">
        <v>112</v>
      </c>
      <c r="C200" s="1" t="s">
        <v>387</v>
      </c>
      <c r="D200" s="12">
        <v>42.5</v>
      </c>
      <c r="E200" s="55">
        <f t="shared" si="7"/>
        <v>0</v>
      </c>
      <c r="F200" s="12">
        <f t="shared" si="8"/>
        <v>42.5</v>
      </c>
      <c r="G200" s="12">
        <v>42.5</v>
      </c>
      <c r="H200" s="56" t="s">
        <v>166</v>
      </c>
      <c r="I200" s="71"/>
    </row>
    <row r="201" spans="1:9" s="72" customFormat="1" ht="18.75">
      <c r="A201" s="2" t="s">
        <v>110</v>
      </c>
      <c r="B201" s="1" t="s">
        <v>112</v>
      </c>
      <c r="C201" s="1" t="s">
        <v>388</v>
      </c>
      <c r="D201" s="12">
        <v>42.5</v>
      </c>
      <c r="E201" s="55">
        <f t="shared" si="7"/>
        <v>0</v>
      </c>
      <c r="F201" s="12">
        <f t="shared" si="8"/>
        <v>42.5</v>
      </c>
      <c r="G201" s="12">
        <v>42.5</v>
      </c>
      <c r="H201" s="56" t="s">
        <v>166</v>
      </c>
      <c r="I201" s="71"/>
    </row>
    <row r="202" spans="1:9" s="72" customFormat="1" ht="18.75">
      <c r="A202" s="2" t="s">
        <v>110</v>
      </c>
      <c r="B202" s="1" t="s">
        <v>112</v>
      </c>
      <c r="C202" s="1" t="s">
        <v>389</v>
      </c>
      <c r="D202" s="12">
        <v>42.5</v>
      </c>
      <c r="E202" s="55">
        <f t="shared" si="7"/>
        <v>0</v>
      </c>
      <c r="F202" s="12">
        <f t="shared" si="8"/>
        <v>42.5</v>
      </c>
      <c r="G202" s="12">
        <v>42.5</v>
      </c>
      <c r="H202" s="56" t="s">
        <v>166</v>
      </c>
      <c r="I202" s="71"/>
    </row>
    <row r="203" spans="1:9" s="72" customFormat="1" ht="18.75">
      <c r="A203" s="2" t="s">
        <v>110</v>
      </c>
      <c r="B203" s="1" t="s">
        <v>112</v>
      </c>
      <c r="C203" s="1" t="s">
        <v>390</v>
      </c>
      <c r="D203" s="12">
        <v>42.5</v>
      </c>
      <c r="E203" s="55">
        <f t="shared" si="7"/>
        <v>0</v>
      </c>
      <c r="F203" s="12">
        <f t="shared" si="8"/>
        <v>42.5</v>
      </c>
      <c r="G203" s="12">
        <v>42.5</v>
      </c>
      <c r="H203" s="56" t="s">
        <v>166</v>
      </c>
      <c r="I203" s="71"/>
    </row>
    <row r="204" spans="1:9" s="72" customFormat="1" ht="18.75">
      <c r="A204" s="2" t="s">
        <v>110</v>
      </c>
      <c r="B204" s="1" t="s">
        <v>112</v>
      </c>
      <c r="C204" s="1" t="s">
        <v>391</v>
      </c>
      <c r="D204" s="12">
        <v>42.5</v>
      </c>
      <c r="E204" s="55">
        <f t="shared" si="7"/>
        <v>0</v>
      </c>
      <c r="F204" s="12">
        <f t="shared" si="8"/>
        <v>42.5</v>
      </c>
      <c r="G204" s="12">
        <v>42.5</v>
      </c>
      <c r="H204" s="56" t="s">
        <v>166</v>
      </c>
      <c r="I204" s="71"/>
    </row>
    <row r="205" spans="1:9" s="72" customFormat="1" ht="18.75">
      <c r="A205" s="2" t="s">
        <v>110</v>
      </c>
      <c r="B205" s="1" t="s">
        <v>112</v>
      </c>
      <c r="C205" s="1" t="s">
        <v>392</v>
      </c>
      <c r="D205" s="12">
        <v>42.5</v>
      </c>
      <c r="E205" s="55">
        <f t="shared" si="7"/>
        <v>0</v>
      </c>
      <c r="F205" s="12">
        <f t="shared" si="8"/>
        <v>42.5</v>
      </c>
      <c r="G205" s="12">
        <v>42.5</v>
      </c>
      <c r="H205" s="56" t="s">
        <v>166</v>
      </c>
      <c r="I205" s="71"/>
    </row>
    <row r="206" spans="1:9" s="72" customFormat="1" ht="18.75">
      <c r="A206" s="2" t="s">
        <v>110</v>
      </c>
      <c r="B206" s="1" t="s">
        <v>112</v>
      </c>
      <c r="C206" s="1" t="s">
        <v>393</v>
      </c>
      <c r="D206" s="12">
        <v>42.5</v>
      </c>
      <c r="E206" s="55">
        <f t="shared" si="7"/>
        <v>0</v>
      </c>
      <c r="F206" s="12">
        <f t="shared" si="8"/>
        <v>42.5</v>
      </c>
      <c r="G206" s="12">
        <v>42.5</v>
      </c>
      <c r="H206" s="56" t="s">
        <v>166</v>
      </c>
      <c r="I206" s="71"/>
    </row>
    <row r="207" spans="1:9" s="72" customFormat="1" ht="18.75">
      <c r="A207" s="2" t="s">
        <v>110</v>
      </c>
      <c r="B207" s="1" t="s">
        <v>112</v>
      </c>
      <c r="C207" s="1" t="s">
        <v>394</v>
      </c>
      <c r="D207" s="12">
        <v>42.5</v>
      </c>
      <c r="E207" s="55">
        <f t="shared" si="7"/>
        <v>0</v>
      </c>
      <c r="F207" s="12">
        <f t="shared" si="8"/>
        <v>42.5</v>
      </c>
      <c r="G207" s="12">
        <v>42.5</v>
      </c>
      <c r="H207" s="56" t="s">
        <v>166</v>
      </c>
      <c r="I207" s="71"/>
    </row>
    <row r="208" spans="1:9" s="72" customFormat="1" ht="18.75">
      <c r="A208" s="2" t="s">
        <v>110</v>
      </c>
      <c r="B208" s="1" t="s">
        <v>112</v>
      </c>
      <c r="C208" s="1" t="s">
        <v>395</v>
      </c>
      <c r="D208" s="12">
        <v>42.5</v>
      </c>
      <c r="E208" s="55">
        <f t="shared" si="7"/>
        <v>0</v>
      </c>
      <c r="F208" s="12">
        <f t="shared" si="8"/>
        <v>42.5</v>
      </c>
      <c r="G208" s="12">
        <v>42.5</v>
      </c>
      <c r="H208" s="56" t="s">
        <v>166</v>
      </c>
      <c r="I208" s="71"/>
    </row>
    <row r="209" spans="1:9" s="72" customFormat="1" ht="18.75">
      <c r="A209" s="2" t="s">
        <v>110</v>
      </c>
      <c r="B209" s="1" t="s">
        <v>112</v>
      </c>
      <c r="C209" s="1" t="s">
        <v>396</v>
      </c>
      <c r="D209" s="12">
        <v>42.5</v>
      </c>
      <c r="E209" s="55">
        <f t="shared" si="7"/>
        <v>0</v>
      </c>
      <c r="F209" s="12">
        <f t="shared" si="8"/>
        <v>42.5</v>
      </c>
      <c r="G209" s="12">
        <v>42.5</v>
      </c>
      <c r="H209" s="56" t="s">
        <v>166</v>
      </c>
      <c r="I209" s="71"/>
    </row>
    <row r="210" spans="1:9" s="72" customFormat="1" ht="18.75">
      <c r="A210" s="2" t="s">
        <v>110</v>
      </c>
      <c r="B210" s="1" t="s">
        <v>112</v>
      </c>
      <c r="C210" s="1" t="s">
        <v>397</v>
      </c>
      <c r="D210" s="12">
        <v>42.5</v>
      </c>
      <c r="E210" s="55">
        <f t="shared" si="7"/>
        <v>0</v>
      </c>
      <c r="F210" s="12">
        <f t="shared" si="8"/>
        <v>42.5</v>
      </c>
      <c r="G210" s="12">
        <v>42.5</v>
      </c>
      <c r="H210" s="56" t="s">
        <v>166</v>
      </c>
      <c r="I210" s="71"/>
    </row>
    <row r="211" spans="1:9" s="72" customFormat="1" ht="18.75">
      <c r="A211" s="2" t="s">
        <v>110</v>
      </c>
      <c r="B211" s="1" t="s">
        <v>112</v>
      </c>
      <c r="C211" s="1" t="s">
        <v>398</v>
      </c>
      <c r="D211" s="12">
        <v>42.5</v>
      </c>
      <c r="E211" s="55">
        <f t="shared" si="7"/>
        <v>0</v>
      </c>
      <c r="F211" s="12">
        <f t="shared" si="8"/>
        <v>42.5</v>
      </c>
      <c r="G211" s="12">
        <v>42.5</v>
      </c>
      <c r="H211" s="56" t="s">
        <v>166</v>
      </c>
      <c r="I211" s="71"/>
    </row>
    <row r="212" spans="1:9" s="72" customFormat="1" ht="18.75">
      <c r="A212" s="2" t="s">
        <v>110</v>
      </c>
      <c r="B212" s="1" t="s">
        <v>112</v>
      </c>
      <c r="C212" s="1" t="s">
        <v>36</v>
      </c>
      <c r="D212" s="12">
        <v>42.5</v>
      </c>
      <c r="E212" s="55">
        <f aca="true" t="shared" si="9" ref="E212:E227">100-(F212/D212)*100</f>
        <v>0</v>
      </c>
      <c r="F212" s="12">
        <f aca="true" t="shared" si="10" ref="F212:F227">SUM(D212)</f>
        <v>42.5</v>
      </c>
      <c r="G212" s="12">
        <v>42.5</v>
      </c>
      <c r="H212" s="56" t="s">
        <v>166</v>
      </c>
      <c r="I212" s="71"/>
    </row>
    <row r="213" spans="1:9" s="72" customFormat="1" ht="18.75">
      <c r="A213" s="2" t="s">
        <v>110</v>
      </c>
      <c r="B213" s="1" t="s">
        <v>112</v>
      </c>
      <c r="C213" s="1" t="s">
        <v>37</v>
      </c>
      <c r="D213" s="12">
        <v>42.5</v>
      </c>
      <c r="E213" s="55">
        <f t="shared" si="9"/>
        <v>0</v>
      </c>
      <c r="F213" s="12">
        <f t="shared" si="10"/>
        <v>42.5</v>
      </c>
      <c r="G213" s="12">
        <v>42.5</v>
      </c>
      <c r="H213" s="56" t="s">
        <v>166</v>
      </c>
      <c r="I213" s="71"/>
    </row>
    <row r="214" spans="1:9" s="72" customFormat="1" ht="18.75">
      <c r="A214" s="2" t="s">
        <v>110</v>
      </c>
      <c r="B214" s="1" t="s">
        <v>112</v>
      </c>
      <c r="C214" s="1" t="s">
        <v>38</v>
      </c>
      <c r="D214" s="12">
        <v>42.5</v>
      </c>
      <c r="E214" s="55">
        <f t="shared" si="9"/>
        <v>0</v>
      </c>
      <c r="F214" s="12">
        <f t="shared" si="10"/>
        <v>42.5</v>
      </c>
      <c r="G214" s="12">
        <v>42.5</v>
      </c>
      <c r="H214" s="56" t="s">
        <v>166</v>
      </c>
      <c r="I214" s="71"/>
    </row>
    <row r="215" spans="1:9" s="72" customFormat="1" ht="18.75">
      <c r="A215" s="2" t="s">
        <v>110</v>
      </c>
      <c r="B215" s="1" t="s">
        <v>112</v>
      </c>
      <c r="C215" s="1" t="s">
        <v>39</v>
      </c>
      <c r="D215" s="12">
        <v>42.5</v>
      </c>
      <c r="E215" s="55">
        <f t="shared" si="9"/>
        <v>0</v>
      </c>
      <c r="F215" s="12">
        <f t="shared" si="10"/>
        <v>42.5</v>
      </c>
      <c r="G215" s="12">
        <v>42.5</v>
      </c>
      <c r="H215" s="56" t="s">
        <v>166</v>
      </c>
      <c r="I215" s="71"/>
    </row>
    <row r="216" spans="1:9" s="72" customFormat="1" ht="18.75">
      <c r="A216" s="2" t="s">
        <v>110</v>
      </c>
      <c r="B216" s="1" t="s">
        <v>112</v>
      </c>
      <c r="C216" s="1" t="s">
        <v>40</v>
      </c>
      <c r="D216" s="12">
        <v>42.5</v>
      </c>
      <c r="E216" s="55">
        <f t="shared" si="9"/>
        <v>0</v>
      </c>
      <c r="F216" s="12">
        <f t="shared" si="10"/>
        <v>42.5</v>
      </c>
      <c r="G216" s="12">
        <v>42.5</v>
      </c>
      <c r="H216" s="56" t="s">
        <v>166</v>
      </c>
      <c r="I216" s="71"/>
    </row>
    <row r="217" spans="1:9" s="72" customFormat="1" ht="18.75">
      <c r="A217" s="2" t="s">
        <v>110</v>
      </c>
      <c r="B217" s="1" t="s">
        <v>112</v>
      </c>
      <c r="C217" s="1" t="s">
        <v>41</v>
      </c>
      <c r="D217" s="12">
        <v>42.5</v>
      </c>
      <c r="E217" s="55">
        <f t="shared" si="9"/>
        <v>0</v>
      </c>
      <c r="F217" s="12">
        <f t="shared" si="10"/>
        <v>42.5</v>
      </c>
      <c r="G217" s="12">
        <v>42.5</v>
      </c>
      <c r="H217" s="56" t="s">
        <v>166</v>
      </c>
      <c r="I217" s="71"/>
    </row>
    <row r="218" spans="1:9" s="72" customFormat="1" ht="18.75">
      <c r="A218" s="2" t="s">
        <v>110</v>
      </c>
      <c r="B218" s="1" t="s">
        <v>112</v>
      </c>
      <c r="C218" s="1" t="s">
        <v>42</v>
      </c>
      <c r="D218" s="12">
        <v>42.5</v>
      </c>
      <c r="E218" s="55">
        <f t="shared" si="9"/>
        <v>0</v>
      </c>
      <c r="F218" s="12">
        <f t="shared" si="10"/>
        <v>42.5</v>
      </c>
      <c r="G218" s="12">
        <v>42.5</v>
      </c>
      <c r="H218" s="56" t="s">
        <v>166</v>
      </c>
      <c r="I218" s="71"/>
    </row>
    <row r="219" spans="1:9" s="72" customFormat="1" ht="18.75">
      <c r="A219" s="2" t="s">
        <v>110</v>
      </c>
      <c r="B219" s="1" t="s">
        <v>112</v>
      </c>
      <c r="C219" s="1" t="s">
        <v>43</v>
      </c>
      <c r="D219" s="12">
        <v>42.5</v>
      </c>
      <c r="E219" s="55">
        <f t="shared" si="9"/>
        <v>0</v>
      </c>
      <c r="F219" s="12">
        <f t="shared" si="10"/>
        <v>42.5</v>
      </c>
      <c r="G219" s="12">
        <v>42.5</v>
      </c>
      <c r="H219" s="56" t="s">
        <v>166</v>
      </c>
      <c r="I219" s="71"/>
    </row>
    <row r="220" spans="1:9" s="72" customFormat="1" ht="18.75">
      <c r="A220" s="2" t="s">
        <v>110</v>
      </c>
      <c r="B220" s="1" t="s">
        <v>112</v>
      </c>
      <c r="C220" s="1" t="s">
        <v>44</v>
      </c>
      <c r="D220" s="12">
        <v>42.5</v>
      </c>
      <c r="E220" s="55">
        <f t="shared" si="9"/>
        <v>0</v>
      </c>
      <c r="F220" s="12">
        <f t="shared" si="10"/>
        <v>42.5</v>
      </c>
      <c r="G220" s="12">
        <v>42.5</v>
      </c>
      <c r="H220" s="56" t="s">
        <v>166</v>
      </c>
      <c r="I220" s="71"/>
    </row>
    <row r="221" spans="1:9" s="72" customFormat="1" ht="18.75">
      <c r="A221" s="2" t="s">
        <v>110</v>
      </c>
      <c r="B221" s="1" t="s">
        <v>112</v>
      </c>
      <c r="C221" s="1" t="s">
        <v>45</v>
      </c>
      <c r="D221" s="12">
        <v>42.5</v>
      </c>
      <c r="E221" s="55">
        <f t="shared" si="9"/>
        <v>0</v>
      </c>
      <c r="F221" s="12">
        <f t="shared" si="10"/>
        <v>42.5</v>
      </c>
      <c r="G221" s="12">
        <v>42.5</v>
      </c>
      <c r="H221" s="56" t="s">
        <v>166</v>
      </c>
      <c r="I221" s="71"/>
    </row>
    <row r="222" spans="1:9" s="72" customFormat="1" ht="18.75">
      <c r="A222" s="2" t="s">
        <v>110</v>
      </c>
      <c r="B222" s="1" t="s">
        <v>112</v>
      </c>
      <c r="C222" s="1" t="s">
        <v>46</v>
      </c>
      <c r="D222" s="12">
        <v>42.5</v>
      </c>
      <c r="E222" s="55">
        <f t="shared" si="9"/>
        <v>0</v>
      </c>
      <c r="F222" s="12">
        <f t="shared" si="10"/>
        <v>42.5</v>
      </c>
      <c r="G222" s="12">
        <v>42.5</v>
      </c>
      <c r="H222" s="56" t="s">
        <v>166</v>
      </c>
      <c r="I222" s="71"/>
    </row>
    <row r="223" spans="1:9" s="72" customFormat="1" ht="18.75">
      <c r="A223" s="2" t="s">
        <v>110</v>
      </c>
      <c r="B223" s="1" t="s">
        <v>112</v>
      </c>
      <c r="C223" s="1" t="s">
        <v>47</v>
      </c>
      <c r="D223" s="12">
        <v>42.5</v>
      </c>
      <c r="E223" s="55">
        <f t="shared" si="9"/>
        <v>0</v>
      </c>
      <c r="F223" s="12">
        <f t="shared" si="10"/>
        <v>42.5</v>
      </c>
      <c r="G223" s="12">
        <v>42.5</v>
      </c>
      <c r="H223" s="56" t="s">
        <v>166</v>
      </c>
      <c r="I223" s="71"/>
    </row>
    <row r="224" spans="1:9" s="72" customFormat="1" ht="18.75">
      <c r="A224" s="2" t="s">
        <v>110</v>
      </c>
      <c r="B224" s="1" t="s">
        <v>112</v>
      </c>
      <c r="C224" s="1" t="s">
        <v>48</v>
      </c>
      <c r="D224" s="12">
        <v>42.5</v>
      </c>
      <c r="E224" s="55">
        <f t="shared" si="9"/>
        <v>0</v>
      </c>
      <c r="F224" s="12">
        <f t="shared" si="10"/>
        <v>42.5</v>
      </c>
      <c r="G224" s="12">
        <v>42.5</v>
      </c>
      <c r="H224" s="56" t="s">
        <v>166</v>
      </c>
      <c r="I224" s="71"/>
    </row>
    <row r="225" spans="1:9" s="72" customFormat="1" ht="18.75">
      <c r="A225" s="2" t="s">
        <v>110</v>
      </c>
      <c r="B225" s="1" t="s">
        <v>112</v>
      </c>
      <c r="C225" s="1" t="s">
        <v>49</v>
      </c>
      <c r="D225" s="12">
        <v>42.5</v>
      </c>
      <c r="E225" s="55">
        <f t="shared" si="9"/>
        <v>0</v>
      </c>
      <c r="F225" s="12">
        <f t="shared" si="10"/>
        <v>42.5</v>
      </c>
      <c r="G225" s="12">
        <v>42.5</v>
      </c>
      <c r="H225" s="56" t="s">
        <v>166</v>
      </c>
      <c r="I225" s="71"/>
    </row>
    <row r="226" spans="1:9" s="72" customFormat="1" ht="18.75">
      <c r="A226" s="2" t="s">
        <v>110</v>
      </c>
      <c r="B226" s="1" t="s">
        <v>112</v>
      </c>
      <c r="C226" s="1" t="s">
        <v>32</v>
      </c>
      <c r="D226" s="12">
        <v>42.5</v>
      </c>
      <c r="E226" s="55">
        <f t="shared" si="9"/>
        <v>0</v>
      </c>
      <c r="F226" s="12">
        <f t="shared" si="10"/>
        <v>42.5</v>
      </c>
      <c r="G226" s="12">
        <v>42.5</v>
      </c>
      <c r="H226" s="56" t="s">
        <v>166</v>
      </c>
      <c r="I226" s="71"/>
    </row>
    <row r="227" spans="1:9" s="72" customFormat="1" ht="18.75">
      <c r="A227" s="2" t="s">
        <v>110</v>
      </c>
      <c r="B227" s="1" t="s">
        <v>112</v>
      </c>
      <c r="C227" s="1" t="s">
        <v>50</v>
      </c>
      <c r="D227" s="12">
        <v>42.5</v>
      </c>
      <c r="E227" s="55">
        <f t="shared" si="9"/>
        <v>0</v>
      </c>
      <c r="F227" s="12">
        <f t="shared" si="10"/>
        <v>42.5</v>
      </c>
      <c r="G227" s="12">
        <v>42.5</v>
      </c>
      <c r="H227" s="56" t="s">
        <v>166</v>
      </c>
      <c r="I227" s="71"/>
    </row>
    <row r="228" spans="1:9" ht="60" customHeight="1">
      <c r="A228" s="2" t="s">
        <v>110</v>
      </c>
      <c r="B228" s="1" t="s">
        <v>112</v>
      </c>
      <c r="C228" s="4" t="s">
        <v>219</v>
      </c>
      <c r="D228" s="12">
        <v>2921.18</v>
      </c>
      <c r="E228" s="55">
        <f>100-(F228/D228)*100</f>
        <v>0</v>
      </c>
      <c r="F228" s="12">
        <f>D228</f>
        <v>2921.18</v>
      </c>
      <c r="G228" s="12">
        <v>2921.18</v>
      </c>
      <c r="H228" s="56" t="s">
        <v>166</v>
      </c>
      <c r="I228" s="60"/>
    </row>
    <row r="229" spans="1:9" ht="59.25" customHeight="1">
      <c r="A229" s="2" t="s">
        <v>110</v>
      </c>
      <c r="B229" s="1" t="s">
        <v>112</v>
      </c>
      <c r="C229" s="1" t="s">
        <v>241</v>
      </c>
      <c r="D229" s="12">
        <v>3867.61</v>
      </c>
      <c r="E229" s="55">
        <f>100-(F229/D229)*100</f>
        <v>0</v>
      </c>
      <c r="F229" s="12">
        <f>D229</f>
        <v>3867.61</v>
      </c>
      <c r="G229" s="12">
        <v>2574.83</v>
      </c>
      <c r="H229" s="56" t="s">
        <v>166</v>
      </c>
      <c r="I229" s="60"/>
    </row>
    <row r="230" spans="1:9" s="72" customFormat="1" ht="56.25">
      <c r="A230" s="54">
        <v>150101</v>
      </c>
      <c r="B230" s="1" t="s">
        <v>112</v>
      </c>
      <c r="C230" s="1" t="s">
        <v>399</v>
      </c>
      <c r="D230" s="12">
        <v>36.875</v>
      </c>
      <c r="E230" s="55">
        <f aca="true" t="shared" si="11" ref="E230:E300">100-(F230/D230)*100</f>
        <v>0</v>
      </c>
      <c r="F230" s="12">
        <v>36.875</v>
      </c>
      <c r="G230" s="12">
        <v>36.875</v>
      </c>
      <c r="H230" s="56"/>
      <c r="I230" s="71"/>
    </row>
    <row r="231" spans="1:9" s="72" customFormat="1" ht="56.25">
      <c r="A231" s="54">
        <v>150101</v>
      </c>
      <c r="B231" s="1" t="s">
        <v>112</v>
      </c>
      <c r="C231" s="1" t="s">
        <v>400</v>
      </c>
      <c r="D231" s="12">
        <v>27.94</v>
      </c>
      <c r="E231" s="55">
        <f t="shared" si="11"/>
        <v>0</v>
      </c>
      <c r="F231" s="12">
        <v>27.94</v>
      </c>
      <c r="G231" s="12">
        <v>27.94</v>
      </c>
      <c r="H231" s="56"/>
      <c r="I231" s="71"/>
    </row>
    <row r="232" spans="1:9" s="72" customFormat="1" ht="56.25">
      <c r="A232" s="54">
        <v>150101</v>
      </c>
      <c r="B232" s="1" t="s">
        <v>112</v>
      </c>
      <c r="C232" s="1" t="s">
        <v>401</v>
      </c>
      <c r="D232" s="12">
        <v>42.211</v>
      </c>
      <c r="E232" s="55">
        <f t="shared" si="11"/>
        <v>0</v>
      </c>
      <c r="F232" s="12">
        <v>42.211</v>
      </c>
      <c r="G232" s="12">
        <v>42.211</v>
      </c>
      <c r="H232" s="56"/>
      <c r="I232" s="71"/>
    </row>
    <row r="233" spans="1:9" s="72" customFormat="1" ht="37.5">
      <c r="A233" s="54">
        <v>150101</v>
      </c>
      <c r="B233" s="1" t="s">
        <v>112</v>
      </c>
      <c r="C233" s="1" t="s">
        <v>402</v>
      </c>
      <c r="D233" s="12">
        <v>158.857</v>
      </c>
      <c r="E233" s="55">
        <f t="shared" si="11"/>
        <v>0</v>
      </c>
      <c r="F233" s="12">
        <v>158.857</v>
      </c>
      <c r="G233" s="12">
        <v>158.857</v>
      </c>
      <c r="H233" s="56"/>
      <c r="I233" s="71"/>
    </row>
    <row r="234" spans="1:9" s="72" customFormat="1" ht="56.25">
      <c r="A234" s="54">
        <v>150101</v>
      </c>
      <c r="B234" s="1" t="s">
        <v>112</v>
      </c>
      <c r="C234" s="1" t="s">
        <v>403</v>
      </c>
      <c r="D234" s="12">
        <v>76.421</v>
      </c>
      <c r="E234" s="55">
        <f t="shared" si="11"/>
        <v>0</v>
      </c>
      <c r="F234" s="12">
        <v>76.421</v>
      </c>
      <c r="G234" s="12">
        <v>76.421</v>
      </c>
      <c r="H234" s="56"/>
      <c r="I234" s="71"/>
    </row>
    <row r="235" spans="1:9" s="72" customFormat="1" ht="37.5">
      <c r="A235" s="54">
        <v>150101</v>
      </c>
      <c r="B235" s="1" t="s">
        <v>112</v>
      </c>
      <c r="C235" s="1" t="s">
        <v>404</v>
      </c>
      <c r="D235" s="12">
        <v>65.551</v>
      </c>
      <c r="E235" s="55">
        <f t="shared" si="11"/>
        <v>0</v>
      </c>
      <c r="F235" s="12">
        <v>65.551</v>
      </c>
      <c r="G235" s="12">
        <v>65.551</v>
      </c>
      <c r="H235" s="56"/>
      <c r="I235" s="71"/>
    </row>
    <row r="236" spans="1:9" s="72" customFormat="1" ht="37.5">
      <c r="A236" s="54">
        <v>150101</v>
      </c>
      <c r="B236" s="1" t="s">
        <v>112</v>
      </c>
      <c r="C236" s="1" t="s">
        <v>405</v>
      </c>
      <c r="D236" s="12">
        <v>45.188</v>
      </c>
      <c r="E236" s="55">
        <f t="shared" si="11"/>
        <v>0</v>
      </c>
      <c r="F236" s="12">
        <v>45.188</v>
      </c>
      <c r="G236" s="12">
        <v>45.188</v>
      </c>
      <c r="H236" s="56"/>
      <c r="I236" s="71"/>
    </row>
    <row r="237" spans="1:9" s="72" customFormat="1" ht="37.5">
      <c r="A237" s="134">
        <v>150101</v>
      </c>
      <c r="B237" s="132" t="s">
        <v>112</v>
      </c>
      <c r="C237" s="1" t="s">
        <v>406</v>
      </c>
      <c r="D237" s="12">
        <v>130.106</v>
      </c>
      <c r="E237" s="55">
        <f t="shared" si="11"/>
        <v>0</v>
      </c>
      <c r="F237" s="12">
        <v>130.106</v>
      </c>
      <c r="G237" s="12">
        <v>130.106</v>
      </c>
      <c r="H237" s="133"/>
      <c r="I237" s="71"/>
    </row>
    <row r="238" spans="1:16" s="23" customFormat="1" ht="38.25" customHeight="1">
      <c r="A238" s="134"/>
      <c r="B238" s="132"/>
      <c r="C238" s="1" t="s">
        <v>257</v>
      </c>
      <c r="D238" s="12"/>
      <c r="E238" s="55"/>
      <c r="F238" s="12"/>
      <c r="G238" s="12">
        <v>8.534</v>
      </c>
      <c r="H238" s="133"/>
      <c r="I238" s="21"/>
      <c r="J238" s="21"/>
      <c r="K238" s="21"/>
      <c r="L238" s="21"/>
      <c r="M238" s="21"/>
      <c r="N238" s="21"/>
      <c r="P238" s="22"/>
    </row>
    <row r="239" spans="1:9" s="72" customFormat="1" ht="60.75" customHeight="1">
      <c r="A239" s="54">
        <v>150101</v>
      </c>
      <c r="B239" s="1" t="s">
        <v>112</v>
      </c>
      <c r="C239" s="1" t="s">
        <v>407</v>
      </c>
      <c r="D239" s="12">
        <v>15.38</v>
      </c>
      <c r="E239" s="55">
        <f t="shared" si="11"/>
        <v>0</v>
      </c>
      <c r="F239" s="12">
        <v>15.38</v>
      </c>
      <c r="G239" s="12">
        <v>15.38</v>
      </c>
      <c r="H239" s="56"/>
      <c r="I239" s="71"/>
    </row>
    <row r="240" spans="1:9" s="72" customFormat="1" ht="56.25">
      <c r="A240" s="54">
        <v>150101</v>
      </c>
      <c r="B240" s="1" t="s">
        <v>112</v>
      </c>
      <c r="C240" s="1" t="s">
        <v>408</v>
      </c>
      <c r="D240" s="12">
        <v>11.728</v>
      </c>
      <c r="E240" s="55">
        <f t="shared" si="11"/>
        <v>0</v>
      </c>
      <c r="F240" s="12">
        <v>11.728</v>
      </c>
      <c r="G240" s="12">
        <v>11.728</v>
      </c>
      <c r="H240" s="56"/>
      <c r="I240" s="71"/>
    </row>
    <row r="241" spans="1:9" s="72" customFormat="1" ht="56.25">
      <c r="A241" s="54">
        <v>150101</v>
      </c>
      <c r="B241" s="1" t="s">
        <v>112</v>
      </c>
      <c r="C241" s="1" t="s">
        <v>409</v>
      </c>
      <c r="D241" s="12">
        <v>20.54</v>
      </c>
      <c r="E241" s="55">
        <f t="shared" si="11"/>
        <v>0</v>
      </c>
      <c r="F241" s="12">
        <v>20.54</v>
      </c>
      <c r="G241" s="12">
        <v>20.54</v>
      </c>
      <c r="H241" s="56"/>
      <c r="I241" s="71"/>
    </row>
    <row r="242" spans="1:9" s="72" customFormat="1" ht="60.75" customHeight="1">
      <c r="A242" s="54">
        <v>150101</v>
      </c>
      <c r="B242" s="1" t="s">
        <v>112</v>
      </c>
      <c r="C242" s="1" t="s">
        <v>410</v>
      </c>
      <c r="D242" s="12">
        <v>126.23</v>
      </c>
      <c r="E242" s="55">
        <f t="shared" si="11"/>
        <v>0</v>
      </c>
      <c r="F242" s="12">
        <v>126.23</v>
      </c>
      <c r="G242" s="12">
        <v>126.23</v>
      </c>
      <c r="H242" s="56"/>
      <c r="I242" s="71"/>
    </row>
    <row r="243" spans="1:9" s="72" customFormat="1" ht="56.25">
      <c r="A243" s="54">
        <v>150101</v>
      </c>
      <c r="B243" s="1" t="s">
        <v>112</v>
      </c>
      <c r="C243" s="1" t="s">
        <v>411</v>
      </c>
      <c r="D243" s="12">
        <v>93.806</v>
      </c>
      <c r="E243" s="55">
        <f t="shared" si="11"/>
        <v>0</v>
      </c>
      <c r="F243" s="12">
        <v>93.806</v>
      </c>
      <c r="G243" s="12">
        <v>93.806</v>
      </c>
      <c r="H243" s="56"/>
      <c r="I243" s="71"/>
    </row>
    <row r="244" spans="1:9" s="72" customFormat="1" ht="37.5">
      <c r="A244" s="54">
        <v>150101</v>
      </c>
      <c r="B244" s="1" t="s">
        <v>112</v>
      </c>
      <c r="C244" s="1" t="s">
        <v>412</v>
      </c>
      <c r="D244" s="12">
        <v>50.819</v>
      </c>
      <c r="E244" s="55">
        <f t="shared" si="11"/>
        <v>0</v>
      </c>
      <c r="F244" s="12">
        <v>50.819</v>
      </c>
      <c r="G244" s="12">
        <v>50.819</v>
      </c>
      <c r="H244" s="56"/>
      <c r="I244" s="71"/>
    </row>
    <row r="245" spans="1:9" s="72" customFormat="1" ht="46.5" customHeight="1">
      <c r="A245" s="54">
        <v>150101</v>
      </c>
      <c r="B245" s="1" t="s">
        <v>112</v>
      </c>
      <c r="C245" s="1" t="s">
        <v>413</v>
      </c>
      <c r="D245" s="12">
        <v>183.811</v>
      </c>
      <c r="E245" s="55">
        <f t="shared" si="11"/>
        <v>0</v>
      </c>
      <c r="F245" s="12">
        <v>183.811</v>
      </c>
      <c r="G245" s="12">
        <v>183.811</v>
      </c>
      <c r="H245" s="56"/>
      <c r="I245" s="71"/>
    </row>
    <row r="246" spans="1:9" s="72" customFormat="1" ht="75">
      <c r="A246" s="54">
        <v>150101</v>
      </c>
      <c r="B246" s="1" t="s">
        <v>112</v>
      </c>
      <c r="C246" s="1" t="s">
        <v>414</v>
      </c>
      <c r="D246" s="12">
        <v>162.545</v>
      </c>
      <c r="E246" s="55">
        <f t="shared" si="11"/>
        <v>0</v>
      </c>
      <c r="F246" s="12">
        <v>162.545</v>
      </c>
      <c r="G246" s="12">
        <v>162.545</v>
      </c>
      <c r="H246" s="56"/>
      <c r="I246" s="71"/>
    </row>
    <row r="247" spans="1:9" s="72" customFormat="1" ht="37.5">
      <c r="A247" s="54">
        <v>150101</v>
      </c>
      <c r="B247" s="1" t="s">
        <v>112</v>
      </c>
      <c r="C247" s="1" t="s">
        <v>415</v>
      </c>
      <c r="D247" s="12">
        <v>32.445</v>
      </c>
      <c r="E247" s="55">
        <f t="shared" si="11"/>
        <v>0</v>
      </c>
      <c r="F247" s="12">
        <v>32.445</v>
      </c>
      <c r="G247" s="12">
        <v>32.445</v>
      </c>
      <c r="H247" s="56"/>
      <c r="I247" s="71"/>
    </row>
    <row r="248" spans="1:9" s="72" customFormat="1" ht="62.25" customHeight="1">
      <c r="A248" s="54">
        <v>150101</v>
      </c>
      <c r="B248" s="1" t="s">
        <v>112</v>
      </c>
      <c r="C248" s="1" t="s">
        <v>443</v>
      </c>
      <c r="D248" s="12">
        <v>97.376</v>
      </c>
      <c r="E248" s="55">
        <f t="shared" si="11"/>
        <v>0</v>
      </c>
      <c r="F248" s="12">
        <v>97.376</v>
      </c>
      <c r="G248" s="12">
        <v>94.339</v>
      </c>
      <c r="H248" s="56"/>
      <c r="I248" s="71"/>
    </row>
    <row r="249" spans="1:9" s="72" customFormat="1" ht="56.25">
      <c r="A249" s="54">
        <v>150101</v>
      </c>
      <c r="B249" s="1" t="s">
        <v>112</v>
      </c>
      <c r="C249" s="1" t="s">
        <v>449</v>
      </c>
      <c r="D249" s="12">
        <v>74.605</v>
      </c>
      <c r="E249" s="55">
        <f t="shared" si="11"/>
        <v>0</v>
      </c>
      <c r="F249" s="12">
        <v>74.605</v>
      </c>
      <c r="G249" s="12">
        <v>74.605</v>
      </c>
      <c r="H249" s="56"/>
      <c r="I249" s="71"/>
    </row>
    <row r="250" spans="1:9" s="72" customFormat="1" ht="56.25">
      <c r="A250" s="54">
        <v>150101</v>
      </c>
      <c r="B250" s="1" t="s">
        <v>112</v>
      </c>
      <c r="C250" s="1" t="s">
        <v>450</v>
      </c>
      <c r="D250" s="12">
        <v>28.658</v>
      </c>
      <c r="E250" s="55">
        <f t="shared" si="11"/>
        <v>0</v>
      </c>
      <c r="F250" s="12">
        <v>28.658</v>
      </c>
      <c r="G250" s="12">
        <v>28.658</v>
      </c>
      <c r="H250" s="56"/>
      <c r="I250" s="71"/>
    </row>
    <row r="251" spans="1:9" s="72" customFormat="1" ht="57.75" customHeight="1">
      <c r="A251" s="134">
        <v>150101</v>
      </c>
      <c r="B251" s="132" t="s">
        <v>112</v>
      </c>
      <c r="C251" s="1" t="s">
        <v>416</v>
      </c>
      <c r="D251" s="12">
        <v>289.311</v>
      </c>
      <c r="E251" s="55">
        <f t="shared" si="11"/>
        <v>0</v>
      </c>
      <c r="F251" s="12">
        <v>289.311</v>
      </c>
      <c r="G251" s="12">
        <v>289.311</v>
      </c>
      <c r="H251" s="133"/>
      <c r="I251" s="71"/>
    </row>
    <row r="252" spans="1:16" s="23" customFormat="1" ht="38.25" customHeight="1">
      <c r="A252" s="134"/>
      <c r="B252" s="132"/>
      <c r="C252" s="1" t="s">
        <v>257</v>
      </c>
      <c r="D252" s="12"/>
      <c r="E252" s="55"/>
      <c r="F252" s="12"/>
      <c r="G252" s="12">
        <v>18.621</v>
      </c>
      <c r="H252" s="133"/>
      <c r="I252" s="21"/>
      <c r="J252" s="21"/>
      <c r="K252" s="21"/>
      <c r="L252" s="21"/>
      <c r="M252" s="21"/>
      <c r="N252" s="21"/>
      <c r="P252" s="22"/>
    </row>
    <row r="253" spans="1:9" s="72" customFormat="1" ht="60" customHeight="1">
      <c r="A253" s="134">
        <v>150101</v>
      </c>
      <c r="B253" s="132" t="s">
        <v>112</v>
      </c>
      <c r="C253" s="1" t="s">
        <v>417</v>
      </c>
      <c r="D253" s="12">
        <v>214.529</v>
      </c>
      <c r="E253" s="55">
        <f t="shared" si="11"/>
        <v>0</v>
      </c>
      <c r="F253" s="12">
        <v>214.529</v>
      </c>
      <c r="G253" s="12">
        <v>214.529</v>
      </c>
      <c r="H253" s="133"/>
      <c r="I253" s="71"/>
    </row>
    <row r="254" spans="1:16" s="23" customFormat="1" ht="38.25" customHeight="1">
      <c r="A254" s="134"/>
      <c r="B254" s="132"/>
      <c r="C254" s="1" t="s">
        <v>257</v>
      </c>
      <c r="D254" s="12"/>
      <c r="E254" s="55"/>
      <c r="F254" s="12"/>
      <c r="G254" s="12">
        <v>14.616</v>
      </c>
      <c r="H254" s="133"/>
      <c r="I254" s="21"/>
      <c r="J254" s="21"/>
      <c r="K254" s="21"/>
      <c r="L254" s="21"/>
      <c r="M254" s="21"/>
      <c r="N254" s="21"/>
      <c r="P254" s="22"/>
    </row>
    <row r="255" spans="1:9" s="72" customFormat="1" ht="57" customHeight="1">
      <c r="A255" s="134">
        <v>150101</v>
      </c>
      <c r="B255" s="132" t="s">
        <v>112</v>
      </c>
      <c r="C255" s="1" t="s">
        <v>418</v>
      </c>
      <c r="D255" s="12">
        <v>176.096</v>
      </c>
      <c r="E255" s="55">
        <f t="shared" si="11"/>
        <v>0</v>
      </c>
      <c r="F255" s="12">
        <v>176.096</v>
      </c>
      <c r="G255" s="12">
        <v>176.096</v>
      </c>
      <c r="H255" s="133"/>
      <c r="I255" s="71"/>
    </row>
    <row r="256" spans="1:16" s="23" customFormat="1" ht="38.25" customHeight="1">
      <c r="A256" s="134"/>
      <c r="B256" s="132"/>
      <c r="C256" s="1" t="s">
        <v>257</v>
      </c>
      <c r="D256" s="12"/>
      <c r="E256" s="55"/>
      <c r="F256" s="12"/>
      <c r="G256" s="12">
        <v>14.042</v>
      </c>
      <c r="H256" s="133"/>
      <c r="I256" s="21"/>
      <c r="J256" s="21"/>
      <c r="K256" s="21"/>
      <c r="L256" s="21"/>
      <c r="M256" s="21"/>
      <c r="N256" s="21"/>
      <c r="P256" s="22"/>
    </row>
    <row r="257" spans="1:9" s="72" customFormat="1" ht="56.25">
      <c r="A257" s="54">
        <v>150101</v>
      </c>
      <c r="B257" s="1" t="s">
        <v>112</v>
      </c>
      <c r="C257" s="1" t="s">
        <v>419</v>
      </c>
      <c r="D257" s="12">
        <v>126.01</v>
      </c>
      <c r="E257" s="55">
        <f t="shared" si="11"/>
        <v>0</v>
      </c>
      <c r="F257" s="12">
        <v>126.01</v>
      </c>
      <c r="G257" s="12">
        <v>126.01</v>
      </c>
      <c r="H257" s="56"/>
      <c r="I257" s="71"/>
    </row>
    <row r="258" spans="1:9" s="72" customFormat="1" ht="37.5">
      <c r="A258" s="54">
        <v>150101</v>
      </c>
      <c r="B258" s="1" t="s">
        <v>112</v>
      </c>
      <c r="C258" s="1" t="s">
        <v>420</v>
      </c>
      <c r="D258" s="12">
        <v>108</v>
      </c>
      <c r="E258" s="55">
        <f t="shared" si="11"/>
        <v>0</v>
      </c>
      <c r="F258" s="12">
        <v>108</v>
      </c>
      <c r="G258" s="12">
        <v>108</v>
      </c>
      <c r="H258" s="56"/>
      <c r="I258" s="71"/>
    </row>
    <row r="259" spans="1:9" s="72" customFormat="1" ht="56.25">
      <c r="A259" s="54">
        <v>150101</v>
      </c>
      <c r="B259" s="1" t="s">
        <v>112</v>
      </c>
      <c r="C259" s="1" t="s">
        <v>421</v>
      </c>
      <c r="D259" s="12">
        <v>87.204</v>
      </c>
      <c r="E259" s="55">
        <f t="shared" si="11"/>
        <v>0</v>
      </c>
      <c r="F259" s="12">
        <v>87.204</v>
      </c>
      <c r="G259" s="12">
        <v>87.204</v>
      </c>
      <c r="H259" s="56"/>
      <c r="I259" s="71"/>
    </row>
    <row r="260" spans="1:9" s="72" customFormat="1" ht="37.5">
      <c r="A260" s="54">
        <v>150101</v>
      </c>
      <c r="B260" s="1" t="s">
        <v>112</v>
      </c>
      <c r="C260" s="1" t="s">
        <v>422</v>
      </c>
      <c r="D260" s="12">
        <v>86.681</v>
      </c>
      <c r="E260" s="55">
        <f t="shared" si="11"/>
        <v>0</v>
      </c>
      <c r="F260" s="12">
        <v>86.681</v>
      </c>
      <c r="G260" s="12">
        <v>86.681</v>
      </c>
      <c r="H260" s="56"/>
      <c r="I260" s="71"/>
    </row>
    <row r="261" spans="1:9" s="72" customFormat="1" ht="37.5">
      <c r="A261" s="54">
        <v>150101</v>
      </c>
      <c r="B261" s="1" t="s">
        <v>112</v>
      </c>
      <c r="C261" s="1" t="s">
        <v>423</v>
      </c>
      <c r="D261" s="12">
        <v>88.66</v>
      </c>
      <c r="E261" s="55">
        <f t="shared" si="11"/>
        <v>0</v>
      </c>
      <c r="F261" s="12">
        <v>88.66</v>
      </c>
      <c r="G261" s="12">
        <v>88.66</v>
      </c>
      <c r="H261" s="56"/>
      <c r="I261" s="71"/>
    </row>
    <row r="262" spans="1:9" s="72" customFormat="1" ht="37.5">
      <c r="A262" s="134">
        <v>150101</v>
      </c>
      <c r="B262" s="132" t="s">
        <v>112</v>
      </c>
      <c r="C262" s="1" t="s">
        <v>424</v>
      </c>
      <c r="D262" s="12">
        <v>47.312</v>
      </c>
      <c r="E262" s="55">
        <f t="shared" si="11"/>
        <v>0</v>
      </c>
      <c r="F262" s="12">
        <v>47.312</v>
      </c>
      <c r="G262" s="12">
        <v>47.312</v>
      </c>
      <c r="H262" s="133"/>
      <c r="I262" s="71"/>
    </row>
    <row r="263" spans="1:16" s="23" customFormat="1" ht="38.25" customHeight="1">
      <c r="A263" s="134"/>
      <c r="B263" s="132"/>
      <c r="C263" s="1" t="s">
        <v>257</v>
      </c>
      <c r="D263" s="12"/>
      <c r="E263" s="55"/>
      <c r="F263" s="12"/>
      <c r="G263" s="12">
        <v>5.53</v>
      </c>
      <c r="H263" s="133"/>
      <c r="I263" s="21"/>
      <c r="J263" s="21"/>
      <c r="K263" s="21"/>
      <c r="L263" s="21"/>
      <c r="M263" s="21"/>
      <c r="N263" s="21"/>
      <c r="P263" s="22"/>
    </row>
    <row r="264" spans="1:9" s="72" customFormat="1" ht="37.5">
      <c r="A264" s="54">
        <v>150101</v>
      </c>
      <c r="B264" s="1" t="s">
        <v>112</v>
      </c>
      <c r="C264" s="1" t="s">
        <v>425</v>
      </c>
      <c r="D264" s="12">
        <v>25.463</v>
      </c>
      <c r="E264" s="55">
        <f t="shared" si="11"/>
        <v>0</v>
      </c>
      <c r="F264" s="12">
        <v>25.463</v>
      </c>
      <c r="G264" s="12">
        <v>25.463</v>
      </c>
      <c r="H264" s="56"/>
      <c r="I264" s="71"/>
    </row>
    <row r="265" spans="1:9" s="72" customFormat="1" ht="37.5">
      <c r="A265" s="134">
        <v>150101</v>
      </c>
      <c r="B265" s="132" t="s">
        <v>112</v>
      </c>
      <c r="C265" s="1" t="s">
        <v>426</v>
      </c>
      <c r="D265" s="12">
        <v>63.614</v>
      </c>
      <c r="E265" s="55">
        <f t="shared" si="11"/>
        <v>0</v>
      </c>
      <c r="F265" s="12">
        <v>63.614</v>
      </c>
      <c r="G265" s="12">
        <v>63.614</v>
      </c>
      <c r="H265" s="133"/>
      <c r="I265" s="71"/>
    </row>
    <row r="266" spans="1:16" s="23" customFormat="1" ht="38.25" customHeight="1">
      <c r="A266" s="134"/>
      <c r="B266" s="132"/>
      <c r="C266" s="1" t="s">
        <v>257</v>
      </c>
      <c r="D266" s="12"/>
      <c r="E266" s="55"/>
      <c r="F266" s="12"/>
      <c r="G266" s="12">
        <v>5.901</v>
      </c>
      <c r="H266" s="133"/>
      <c r="I266" s="21"/>
      <c r="J266" s="21"/>
      <c r="K266" s="21"/>
      <c r="L266" s="21"/>
      <c r="M266" s="21"/>
      <c r="N266" s="21"/>
      <c r="P266" s="22"/>
    </row>
    <row r="267" spans="1:9" s="72" customFormat="1" ht="37.5">
      <c r="A267" s="54">
        <v>150101</v>
      </c>
      <c r="B267" s="1" t="s">
        <v>112</v>
      </c>
      <c r="C267" s="1" t="s">
        <v>427</v>
      </c>
      <c r="D267" s="12">
        <v>94.52</v>
      </c>
      <c r="E267" s="55">
        <f t="shared" si="11"/>
        <v>0</v>
      </c>
      <c r="F267" s="12">
        <v>94.52</v>
      </c>
      <c r="G267" s="12">
        <v>94.52</v>
      </c>
      <c r="H267" s="56"/>
      <c r="I267" s="71"/>
    </row>
    <row r="268" spans="1:9" s="72" customFormat="1" ht="37.5">
      <c r="A268" s="54">
        <v>150101</v>
      </c>
      <c r="B268" s="1" t="s">
        <v>112</v>
      </c>
      <c r="C268" s="1" t="s">
        <v>428</v>
      </c>
      <c r="D268" s="12">
        <v>41.232</v>
      </c>
      <c r="E268" s="55">
        <f t="shared" si="11"/>
        <v>0</v>
      </c>
      <c r="F268" s="12">
        <v>41.232</v>
      </c>
      <c r="G268" s="12">
        <v>41.232</v>
      </c>
      <c r="H268" s="56"/>
      <c r="I268" s="71"/>
    </row>
    <row r="269" spans="1:9" s="72" customFormat="1" ht="37.5">
      <c r="A269" s="54">
        <v>150101</v>
      </c>
      <c r="B269" s="1" t="s">
        <v>112</v>
      </c>
      <c r="C269" s="1" t="s">
        <v>429</v>
      </c>
      <c r="D269" s="12">
        <v>42.385</v>
      </c>
      <c r="E269" s="55">
        <f t="shared" si="11"/>
        <v>0</v>
      </c>
      <c r="F269" s="12">
        <v>42.385</v>
      </c>
      <c r="G269" s="12">
        <v>42.385</v>
      </c>
      <c r="H269" s="56"/>
      <c r="I269" s="71"/>
    </row>
    <row r="270" spans="1:9" s="72" customFormat="1" ht="37.5">
      <c r="A270" s="134">
        <v>150101</v>
      </c>
      <c r="B270" s="132" t="s">
        <v>112</v>
      </c>
      <c r="C270" s="1" t="s">
        <v>430</v>
      </c>
      <c r="D270" s="12">
        <v>210.149</v>
      </c>
      <c r="E270" s="55">
        <f t="shared" si="11"/>
        <v>0</v>
      </c>
      <c r="F270" s="12">
        <v>210.149</v>
      </c>
      <c r="G270" s="12">
        <v>210.149</v>
      </c>
      <c r="H270" s="133"/>
      <c r="I270" s="71"/>
    </row>
    <row r="271" spans="1:16" s="23" customFormat="1" ht="38.25" customHeight="1">
      <c r="A271" s="134"/>
      <c r="B271" s="132"/>
      <c r="C271" s="1" t="s">
        <v>257</v>
      </c>
      <c r="D271" s="12"/>
      <c r="E271" s="55"/>
      <c r="F271" s="12"/>
      <c r="G271" s="12">
        <v>9.399</v>
      </c>
      <c r="H271" s="133"/>
      <c r="I271" s="21"/>
      <c r="J271" s="21"/>
      <c r="K271" s="21"/>
      <c r="L271" s="21"/>
      <c r="M271" s="21"/>
      <c r="N271" s="21"/>
      <c r="P271" s="22"/>
    </row>
    <row r="272" spans="1:9" s="72" customFormat="1" ht="37.5">
      <c r="A272" s="54">
        <v>150101</v>
      </c>
      <c r="B272" s="1" t="s">
        <v>112</v>
      </c>
      <c r="C272" s="1" t="s">
        <v>431</v>
      </c>
      <c r="D272" s="12">
        <v>274.207</v>
      </c>
      <c r="E272" s="55">
        <f t="shared" si="11"/>
        <v>0</v>
      </c>
      <c r="F272" s="12">
        <v>274.207</v>
      </c>
      <c r="G272" s="12">
        <v>274.207</v>
      </c>
      <c r="H272" s="56"/>
      <c r="I272" s="71"/>
    </row>
    <row r="273" spans="1:9" s="72" customFormat="1" ht="37.5">
      <c r="A273" s="54">
        <v>150101</v>
      </c>
      <c r="B273" s="1" t="s">
        <v>112</v>
      </c>
      <c r="C273" s="1" t="s">
        <v>432</v>
      </c>
      <c r="D273" s="12">
        <v>152.348</v>
      </c>
      <c r="E273" s="55">
        <f t="shared" si="11"/>
        <v>0</v>
      </c>
      <c r="F273" s="12">
        <v>152.348</v>
      </c>
      <c r="G273" s="12">
        <v>152.348</v>
      </c>
      <c r="H273" s="56"/>
      <c r="I273" s="71"/>
    </row>
    <row r="274" spans="1:9" s="72" customFormat="1" ht="37.5">
      <c r="A274" s="54">
        <v>150101</v>
      </c>
      <c r="B274" s="1" t="s">
        <v>112</v>
      </c>
      <c r="C274" s="1" t="s">
        <v>433</v>
      </c>
      <c r="D274" s="12">
        <v>279.687</v>
      </c>
      <c r="E274" s="55">
        <f t="shared" si="11"/>
        <v>0</v>
      </c>
      <c r="F274" s="12">
        <v>279.687</v>
      </c>
      <c r="G274" s="12">
        <v>279.687</v>
      </c>
      <c r="H274" s="56"/>
      <c r="I274" s="71"/>
    </row>
    <row r="275" spans="1:9" s="72" customFormat="1" ht="37.5">
      <c r="A275" s="54">
        <v>150101</v>
      </c>
      <c r="B275" s="1" t="s">
        <v>112</v>
      </c>
      <c r="C275" s="1" t="s">
        <v>434</v>
      </c>
      <c r="D275" s="12">
        <v>92.615</v>
      </c>
      <c r="E275" s="55">
        <f t="shared" si="11"/>
        <v>0</v>
      </c>
      <c r="F275" s="12">
        <v>92.615</v>
      </c>
      <c r="G275" s="12">
        <v>92.615</v>
      </c>
      <c r="H275" s="56"/>
      <c r="I275" s="71"/>
    </row>
    <row r="276" spans="1:9" s="72" customFormat="1" ht="37.5">
      <c r="A276" s="54">
        <v>150101</v>
      </c>
      <c r="B276" s="1" t="s">
        <v>112</v>
      </c>
      <c r="C276" s="1" t="s">
        <v>435</v>
      </c>
      <c r="D276" s="12">
        <v>26.6</v>
      </c>
      <c r="E276" s="55">
        <f t="shared" si="11"/>
        <v>0</v>
      </c>
      <c r="F276" s="12">
        <v>26.6</v>
      </c>
      <c r="G276" s="12">
        <v>26.6</v>
      </c>
      <c r="H276" s="56"/>
      <c r="I276" s="71"/>
    </row>
    <row r="277" spans="1:9" s="72" customFormat="1" ht="37.5">
      <c r="A277" s="134">
        <v>150101</v>
      </c>
      <c r="B277" s="132" t="s">
        <v>112</v>
      </c>
      <c r="C277" s="1" t="s">
        <v>436</v>
      </c>
      <c r="D277" s="12">
        <v>88.917</v>
      </c>
      <c r="E277" s="55">
        <f t="shared" si="11"/>
        <v>0</v>
      </c>
      <c r="F277" s="12">
        <v>88.917</v>
      </c>
      <c r="G277" s="12">
        <v>88.917</v>
      </c>
      <c r="H277" s="133"/>
      <c r="I277" s="71"/>
    </row>
    <row r="278" spans="1:16" s="23" customFormat="1" ht="38.25" customHeight="1">
      <c r="A278" s="134"/>
      <c r="B278" s="132"/>
      <c r="C278" s="1" t="s">
        <v>257</v>
      </c>
      <c r="D278" s="12"/>
      <c r="E278" s="55"/>
      <c r="F278" s="12"/>
      <c r="G278" s="12">
        <v>7.792</v>
      </c>
      <c r="H278" s="133"/>
      <c r="I278" s="21"/>
      <c r="J278" s="21"/>
      <c r="K278" s="21"/>
      <c r="L278" s="21"/>
      <c r="M278" s="21"/>
      <c r="N278" s="21"/>
      <c r="P278" s="22"/>
    </row>
    <row r="279" spans="1:9" s="72" customFormat="1" ht="37.5">
      <c r="A279" s="54">
        <v>150101</v>
      </c>
      <c r="B279" s="1" t="s">
        <v>112</v>
      </c>
      <c r="C279" s="1" t="s">
        <v>437</v>
      </c>
      <c r="D279" s="12">
        <v>126.401</v>
      </c>
      <c r="E279" s="55">
        <f t="shared" si="11"/>
        <v>0</v>
      </c>
      <c r="F279" s="12">
        <v>126.401</v>
      </c>
      <c r="G279" s="12">
        <v>126.401</v>
      </c>
      <c r="H279" s="56"/>
      <c r="I279" s="71"/>
    </row>
    <row r="280" spans="1:9" s="72" customFormat="1" ht="37.5">
      <c r="A280" s="54">
        <v>150101</v>
      </c>
      <c r="B280" s="1" t="s">
        <v>112</v>
      </c>
      <c r="C280" s="1" t="s">
        <v>438</v>
      </c>
      <c r="D280" s="12">
        <v>82.424</v>
      </c>
      <c r="E280" s="55">
        <f t="shared" si="11"/>
        <v>0</v>
      </c>
      <c r="F280" s="12">
        <v>82.424</v>
      </c>
      <c r="G280" s="12">
        <v>82.424</v>
      </c>
      <c r="H280" s="56"/>
      <c r="I280" s="71"/>
    </row>
    <row r="281" spans="1:9" s="72" customFormat="1" ht="37.5">
      <c r="A281" s="54">
        <v>150101</v>
      </c>
      <c r="B281" s="1" t="s">
        <v>112</v>
      </c>
      <c r="C281" s="1" t="s">
        <v>439</v>
      </c>
      <c r="D281" s="12">
        <v>52.327</v>
      </c>
      <c r="E281" s="55">
        <f t="shared" si="11"/>
        <v>0</v>
      </c>
      <c r="F281" s="12">
        <v>52.327</v>
      </c>
      <c r="G281" s="12">
        <v>52.327</v>
      </c>
      <c r="H281" s="56"/>
      <c r="I281" s="71"/>
    </row>
    <row r="282" spans="1:9" s="72" customFormat="1" ht="37.5">
      <c r="A282" s="54">
        <v>150101</v>
      </c>
      <c r="B282" s="1" t="s">
        <v>112</v>
      </c>
      <c r="C282" s="1" t="s">
        <v>440</v>
      </c>
      <c r="D282" s="12">
        <v>55.553</v>
      </c>
      <c r="E282" s="55">
        <f t="shared" si="11"/>
        <v>0</v>
      </c>
      <c r="F282" s="12">
        <v>55.553</v>
      </c>
      <c r="G282" s="12">
        <v>55.553</v>
      </c>
      <c r="H282" s="56"/>
      <c r="I282" s="71"/>
    </row>
    <row r="283" spans="1:9" s="72" customFormat="1" ht="37.5">
      <c r="A283" s="54">
        <v>150101</v>
      </c>
      <c r="B283" s="1" t="s">
        <v>112</v>
      </c>
      <c r="C283" s="1" t="s">
        <v>441</v>
      </c>
      <c r="D283" s="12">
        <v>186.751</v>
      </c>
      <c r="E283" s="55">
        <f t="shared" si="11"/>
        <v>0</v>
      </c>
      <c r="F283" s="12">
        <v>186.751</v>
      </c>
      <c r="G283" s="12">
        <v>186.751</v>
      </c>
      <c r="H283" s="56"/>
      <c r="I283" s="71"/>
    </row>
    <row r="284" spans="1:9" s="72" customFormat="1" ht="37.5">
      <c r="A284" s="54">
        <v>150101</v>
      </c>
      <c r="B284" s="1" t="s">
        <v>112</v>
      </c>
      <c r="C284" s="1" t="s">
        <v>80</v>
      </c>
      <c r="D284" s="12">
        <v>42.986</v>
      </c>
      <c r="E284" s="55">
        <f t="shared" si="11"/>
        <v>0</v>
      </c>
      <c r="F284" s="12">
        <v>42.986</v>
      </c>
      <c r="G284" s="12">
        <v>42.986</v>
      </c>
      <c r="H284" s="56"/>
      <c r="I284" s="71"/>
    </row>
    <row r="285" spans="1:9" s="72" customFormat="1" ht="37.5">
      <c r="A285" s="134">
        <v>150101</v>
      </c>
      <c r="B285" s="132" t="s">
        <v>112</v>
      </c>
      <c r="C285" s="1" t="s">
        <v>81</v>
      </c>
      <c r="D285" s="12">
        <v>50.453</v>
      </c>
      <c r="E285" s="55">
        <f t="shared" si="11"/>
        <v>0</v>
      </c>
      <c r="F285" s="12">
        <v>50.453</v>
      </c>
      <c r="G285" s="12">
        <v>50.453</v>
      </c>
      <c r="H285" s="133"/>
      <c r="I285" s="71"/>
    </row>
    <row r="286" spans="1:16" s="23" customFormat="1" ht="38.25" customHeight="1">
      <c r="A286" s="134"/>
      <c r="B286" s="132"/>
      <c r="C286" s="1" t="s">
        <v>257</v>
      </c>
      <c r="D286" s="12"/>
      <c r="E286" s="55"/>
      <c r="F286" s="12"/>
      <c r="G286" s="12">
        <v>4.559</v>
      </c>
      <c r="H286" s="133"/>
      <c r="I286" s="21"/>
      <c r="J286" s="21"/>
      <c r="K286" s="21"/>
      <c r="L286" s="21"/>
      <c r="M286" s="21"/>
      <c r="N286" s="21"/>
      <c r="P286" s="22"/>
    </row>
    <row r="287" spans="1:9" s="72" customFormat="1" ht="37.5">
      <c r="A287" s="54">
        <v>150101</v>
      </c>
      <c r="B287" s="1" t="s">
        <v>112</v>
      </c>
      <c r="C287" s="1" t="s">
        <v>82</v>
      </c>
      <c r="D287" s="12">
        <v>56.196</v>
      </c>
      <c r="E287" s="55">
        <f t="shared" si="11"/>
        <v>0</v>
      </c>
      <c r="F287" s="12">
        <v>56.196</v>
      </c>
      <c r="G287" s="12">
        <v>56.196</v>
      </c>
      <c r="H287" s="56"/>
      <c r="I287" s="71"/>
    </row>
    <row r="288" spans="1:9" s="72" customFormat="1" ht="37.5">
      <c r="A288" s="54">
        <v>150101</v>
      </c>
      <c r="B288" s="1" t="s">
        <v>112</v>
      </c>
      <c r="C288" s="1" t="s">
        <v>83</v>
      </c>
      <c r="D288" s="12">
        <v>32.099</v>
      </c>
      <c r="E288" s="55">
        <f t="shared" si="11"/>
        <v>0</v>
      </c>
      <c r="F288" s="12">
        <v>32.099</v>
      </c>
      <c r="G288" s="12">
        <v>32.099</v>
      </c>
      <c r="H288" s="56"/>
      <c r="I288" s="71"/>
    </row>
    <row r="289" spans="1:9" s="72" customFormat="1" ht="37.5">
      <c r="A289" s="54">
        <v>150101</v>
      </c>
      <c r="B289" s="1" t="s">
        <v>112</v>
      </c>
      <c r="C289" s="1" t="s">
        <v>84</v>
      </c>
      <c r="D289" s="12">
        <v>54.134</v>
      </c>
      <c r="E289" s="55">
        <f t="shared" si="11"/>
        <v>0</v>
      </c>
      <c r="F289" s="12">
        <v>54.134</v>
      </c>
      <c r="G289" s="12">
        <v>54.134</v>
      </c>
      <c r="H289" s="56"/>
      <c r="I289" s="71"/>
    </row>
    <row r="290" spans="1:9" s="72" customFormat="1" ht="37.5">
      <c r="A290" s="54">
        <v>150101</v>
      </c>
      <c r="B290" s="1" t="s">
        <v>112</v>
      </c>
      <c r="C290" s="1" t="s">
        <v>85</v>
      </c>
      <c r="D290" s="12">
        <v>102</v>
      </c>
      <c r="E290" s="55">
        <f t="shared" si="11"/>
        <v>0</v>
      </c>
      <c r="F290" s="12">
        <v>102</v>
      </c>
      <c r="G290" s="12">
        <v>102</v>
      </c>
      <c r="H290" s="56"/>
      <c r="I290" s="71"/>
    </row>
    <row r="291" spans="1:9" s="72" customFormat="1" ht="37.5">
      <c r="A291" s="54">
        <v>150101</v>
      </c>
      <c r="B291" s="1" t="s">
        <v>112</v>
      </c>
      <c r="C291" s="1" t="s">
        <v>86</v>
      </c>
      <c r="D291" s="12">
        <v>92.048</v>
      </c>
      <c r="E291" s="55">
        <f t="shared" si="11"/>
        <v>0</v>
      </c>
      <c r="F291" s="12">
        <v>92.048</v>
      </c>
      <c r="G291" s="12">
        <v>92.048</v>
      </c>
      <c r="H291" s="56"/>
      <c r="I291" s="71"/>
    </row>
    <row r="292" spans="1:9" s="72" customFormat="1" ht="37.5">
      <c r="A292" s="54">
        <v>150101</v>
      </c>
      <c r="B292" s="1" t="s">
        <v>112</v>
      </c>
      <c r="C292" s="1" t="s">
        <v>87</v>
      </c>
      <c r="D292" s="12">
        <v>54</v>
      </c>
      <c r="E292" s="55">
        <f t="shared" si="11"/>
        <v>0</v>
      </c>
      <c r="F292" s="12">
        <v>54</v>
      </c>
      <c r="G292" s="12">
        <v>54</v>
      </c>
      <c r="H292" s="56"/>
      <c r="I292" s="71"/>
    </row>
    <row r="293" spans="1:9" s="72" customFormat="1" ht="37.5">
      <c r="A293" s="54">
        <v>150101</v>
      </c>
      <c r="B293" s="1" t="s">
        <v>112</v>
      </c>
      <c r="C293" s="1" t="s">
        <v>88</v>
      </c>
      <c r="D293" s="12">
        <v>48.538</v>
      </c>
      <c r="E293" s="55">
        <f t="shared" si="11"/>
        <v>0</v>
      </c>
      <c r="F293" s="12">
        <v>48.538</v>
      </c>
      <c r="G293" s="12">
        <v>48.538</v>
      </c>
      <c r="H293" s="56"/>
      <c r="I293" s="71"/>
    </row>
    <row r="294" spans="1:9" s="72" customFormat="1" ht="37.5">
      <c r="A294" s="54">
        <v>150101</v>
      </c>
      <c r="B294" s="1" t="s">
        <v>112</v>
      </c>
      <c r="C294" s="1" t="s">
        <v>89</v>
      </c>
      <c r="D294" s="12">
        <v>156.591</v>
      </c>
      <c r="E294" s="55">
        <f t="shared" si="11"/>
        <v>0</v>
      </c>
      <c r="F294" s="12">
        <v>156.591</v>
      </c>
      <c r="G294" s="12">
        <v>156.591</v>
      </c>
      <c r="H294" s="56"/>
      <c r="I294" s="71"/>
    </row>
    <row r="295" spans="1:9" s="72" customFormat="1" ht="37.5">
      <c r="A295" s="54">
        <v>150101</v>
      </c>
      <c r="B295" s="1" t="s">
        <v>112</v>
      </c>
      <c r="C295" s="1" t="s">
        <v>90</v>
      </c>
      <c r="D295" s="12">
        <v>59.307</v>
      </c>
      <c r="E295" s="55">
        <f t="shared" si="11"/>
        <v>0</v>
      </c>
      <c r="F295" s="12">
        <v>59.307</v>
      </c>
      <c r="G295" s="12">
        <v>59.307</v>
      </c>
      <c r="H295" s="56"/>
      <c r="I295" s="71"/>
    </row>
    <row r="296" spans="1:9" s="72" customFormat="1" ht="37.5">
      <c r="A296" s="134">
        <v>150101</v>
      </c>
      <c r="B296" s="132" t="s">
        <v>112</v>
      </c>
      <c r="C296" s="1" t="s">
        <v>91</v>
      </c>
      <c r="D296" s="12">
        <v>71.719</v>
      </c>
      <c r="E296" s="55">
        <f t="shared" si="11"/>
        <v>0</v>
      </c>
      <c r="F296" s="12">
        <v>71.719</v>
      </c>
      <c r="G296" s="12">
        <v>71.719</v>
      </c>
      <c r="H296" s="133"/>
      <c r="I296" s="71"/>
    </row>
    <row r="297" spans="1:16" s="23" customFormat="1" ht="38.25" customHeight="1">
      <c r="A297" s="134"/>
      <c r="B297" s="132"/>
      <c r="C297" s="1" t="s">
        <v>257</v>
      </c>
      <c r="D297" s="12"/>
      <c r="E297" s="55"/>
      <c r="F297" s="12"/>
      <c r="G297" s="12">
        <v>5.345</v>
      </c>
      <c r="H297" s="133"/>
      <c r="I297" s="21"/>
      <c r="J297" s="21"/>
      <c r="K297" s="21"/>
      <c r="L297" s="21"/>
      <c r="M297" s="21"/>
      <c r="N297" s="21"/>
      <c r="P297" s="22"/>
    </row>
    <row r="298" spans="1:9" s="72" customFormat="1" ht="37.5">
      <c r="A298" s="54">
        <v>150101</v>
      </c>
      <c r="B298" s="1" t="s">
        <v>112</v>
      </c>
      <c r="C298" s="1" t="s">
        <v>92</v>
      </c>
      <c r="D298" s="12">
        <v>26.964</v>
      </c>
      <c r="E298" s="55">
        <f t="shared" si="11"/>
        <v>0</v>
      </c>
      <c r="F298" s="12">
        <v>26.964</v>
      </c>
      <c r="G298" s="12">
        <v>26.964</v>
      </c>
      <c r="H298" s="56"/>
      <c r="I298" s="71"/>
    </row>
    <row r="299" spans="1:9" s="72" customFormat="1" ht="56.25">
      <c r="A299" s="54">
        <v>150101</v>
      </c>
      <c r="B299" s="1" t="s">
        <v>112</v>
      </c>
      <c r="C299" s="1" t="s">
        <v>446</v>
      </c>
      <c r="D299" s="12">
        <v>5</v>
      </c>
      <c r="E299" s="55">
        <f t="shared" si="11"/>
        <v>0</v>
      </c>
      <c r="F299" s="12">
        <v>5</v>
      </c>
      <c r="G299" s="12">
        <v>5</v>
      </c>
      <c r="H299" s="56"/>
      <c r="I299" s="71"/>
    </row>
    <row r="300" spans="1:9" s="72" customFormat="1" ht="56.25">
      <c r="A300" s="54">
        <v>150101</v>
      </c>
      <c r="B300" s="1" t="s">
        <v>112</v>
      </c>
      <c r="C300" s="1" t="s">
        <v>447</v>
      </c>
      <c r="D300" s="12">
        <v>5</v>
      </c>
      <c r="E300" s="55">
        <f t="shared" si="11"/>
        <v>0</v>
      </c>
      <c r="F300" s="12">
        <v>5</v>
      </c>
      <c r="G300" s="12">
        <v>5</v>
      </c>
      <c r="H300" s="56"/>
      <c r="I300" s="71"/>
    </row>
    <row r="301" spans="1:9" s="72" customFormat="1" ht="56.25">
      <c r="A301" s="54">
        <v>150101</v>
      </c>
      <c r="B301" s="1" t="s">
        <v>112</v>
      </c>
      <c r="C301" s="1" t="s">
        <v>444</v>
      </c>
      <c r="D301" s="12"/>
      <c r="E301" s="55"/>
      <c r="F301" s="12"/>
      <c r="G301" s="12">
        <v>0.397</v>
      </c>
      <c r="H301" s="56"/>
      <c r="I301" s="71"/>
    </row>
    <row r="302" spans="1:9" s="72" customFormat="1" ht="75">
      <c r="A302" s="54">
        <v>150101</v>
      </c>
      <c r="B302" s="1" t="s">
        <v>112</v>
      </c>
      <c r="C302" s="1" t="s">
        <v>445</v>
      </c>
      <c r="D302" s="12"/>
      <c r="E302" s="55"/>
      <c r="F302" s="12"/>
      <c r="G302" s="12">
        <v>1.043</v>
      </c>
      <c r="H302" s="56"/>
      <c r="I302" s="71"/>
    </row>
    <row r="303" spans="1:9" ht="95.25" customHeight="1">
      <c r="A303" s="2" t="s">
        <v>110</v>
      </c>
      <c r="B303" s="1" t="s">
        <v>112</v>
      </c>
      <c r="C303" s="1" t="s">
        <v>269</v>
      </c>
      <c r="D303" s="12">
        <v>51.997</v>
      </c>
      <c r="E303" s="55">
        <f>100-(F303/D303)*100</f>
        <v>1.1441429313229605</v>
      </c>
      <c r="F303" s="12">
        <f>51.997-0.59492</f>
        <v>51.40208</v>
      </c>
      <c r="G303" s="12">
        <v>10.661</v>
      </c>
      <c r="H303" s="56"/>
      <c r="I303" s="60"/>
    </row>
    <row r="304" spans="1:9" ht="80.25" customHeight="1">
      <c r="A304" s="2" t="s">
        <v>110</v>
      </c>
      <c r="B304" s="1" t="s">
        <v>112</v>
      </c>
      <c r="C304" s="1" t="s">
        <v>270</v>
      </c>
      <c r="D304" s="12">
        <v>44.962</v>
      </c>
      <c r="E304" s="55">
        <f aca="true" t="shared" si="12" ref="E304:E314">100-(F304/D304)*100</f>
        <v>1.9837195854276928</v>
      </c>
      <c r="F304" s="12">
        <f>44.962-0.89192</f>
        <v>44.070080000000004</v>
      </c>
      <c r="G304" s="12">
        <v>10.766</v>
      </c>
      <c r="H304" s="56"/>
      <c r="I304" s="60"/>
    </row>
    <row r="305" spans="1:9" ht="75" customHeight="1">
      <c r="A305" s="2" t="s">
        <v>110</v>
      </c>
      <c r="B305" s="1" t="s">
        <v>112</v>
      </c>
      <c r="C305" s="1" t="s">
        <v>271</v>
      </c>
      <c r="D305" s="64">
        <v>20.278</v>
      </c>
      <c r="E305" s="70">
        <f t="shared" si="12"/>
        <v>0</v>
      </c>
      <c r="F305" s="64">
        <f>SUM(D305)</f>
        <v>20.278</v>
      </c>
      <c r="G305" s="12">
        <v>7.492</v>
      </c>
      <c r="H305" s="56"/>
      <c r="I305" s="60"/>
    </row>
    <row r="306" spans="1:9" ht="57.75" customHeight="1">
      <c r="A306" s="2" t="s">
        <v>110</v>
      </c>
      <c r="B306" s="1" t="s">
        <v>112</v>
      </c>
      <c r="C306" s="1" t="s">
        <v>272</v>
      </c>
      <c r="D306" s="64">
        <v>21.328</v>
      </c>
      <c r="E306" s="70">
        <f t="shared" si="12"/>
        <v>0</v>
      </c>
      <c r="F306" s="64">
        <f>SUM(D306)</f>
        <v>21.328</v>
      </c>
      <c r="G306" s="12">
        <v>7.492</v>
      </c>
      <c r="H306" s="56"/>
      <c r="I306" s="60"/>
    </row>
    <row r="307" spans="1:9" ht="57.75" customHeight="1">
      <c r="A307" s="2" t="s">
        <v>110</v>
      </c>
      <c r="B307" s="1" t="s">
        <v>112</v>
      </c>
      <c r="C307" s="65" t="s">
        <v>273</v>
      </c>
      <c r="D307" s="64">
        <v>16.744</v>
      </c>
      <c r="E307" s="70">
        <f t="shared" si="12"/>
        <v>0</v>
      </c>
      <c r="F307" s="64">
        <f>SUM(D307)</f>
        <v>16.744</v>
      </c>
      <c r="G307" s="12">
        <v>7.492</v>
      </c>
      <c r="H307" s="56"/>
      <c r="I307" s="60"/>
    </row>
    <row r="308" spans="1:9" ht="57.75" customHeight="1">
      <c r="A308" s="2" t="s">
        <v>110</v>
      </c>
      <c r="B308" s="1" t="s">
        <v>112</v>
      </c>
      <c r="C308" s="65" t="s">
        <v>274</v>
      </c>
      <c r="D308" s="64">
        <v>16.014</v>
      </c>
      <c r="E308" s="70">
        <f t="shared" si="12"/>
        <v>0</v>
      </c>
      <c r="F308" s="64">
        <f>SUM(D308)</f>
        <v>16.014</v>
      </c>
      <c r="G308" s="12">
        <v>7.492</v>
      </c>
      <c r="H308" s="56"/>
      <c r="I308" s="60"/>
    </row>
    <row r="309" spans="1:9" ht="57.75" customHeight="1">
      <c r="A309" s="2" t="s">
        <v>110</v>
      </c>
      <c r="B309" s="1" t="s">
        <v>112</v>
      </c>
      <c r="C309" s="65" t="s">
        <v>63</v>
      </c>
      <c r="D309" s="64">
        <v>15</v>
      </c>
      <c r="E309" s="70">
        <f t="shared" si="12"/>
        <v>0</v>
      </c>
      <c r="F309" s="64">
        <f>SUM(D309)</f>
        <v>15</v>
      </c>
      <c r="G309" s="12">
        <v>15</v>
      </c>
      <c r="H309" s="56"/>
      <c r="I309" s="60"/>
    </row>
    <row r="310" spans="1:9" ht="78" customHeight="1">
      <c r="A310" s="2" t="s">
        <v>110</v>
      </c>
      <c r="B310" s="1" t="s">
        <v>112</v>
      </c>
      <c r="C310" s="1" t="s">
        <v>275</v>
      </c>
      <c r="D310" s="12">
        <v>465</v>
      </c>
      <c r="E310" s="55">
        <f t="shared" si="12"/>
        <v>93.69531827956989</v>
      </c>
      <c r="F310" s="12">
        <f>D310-(79.512+136.904+219.26723)</f>
        <v>29.31677000000002</v>
      </c>
      <c r="G310" s="12">
        <v>23.974</v>
      </c>
      <c r="H310" s="56" t="s">
        <v>166</v>
      </c>
      <c r="I310" s="60"/>
    </row>
    <row r="311" spans="1:9" ht="55.5" customHeight="1">
      <c r="A311" s="131" t="s">
        <v>110</v>
      </c>
      <c r="B311" s="132" t="s">
        <v>112</v>
      </c>
      <c r="C311" s="1" t="s">
        <v>310</v>
      </c>
      <c r="D311" s="12">
        <v>2583.683</v>
      </c>
      <c r="E311" s="55">
        <f t="shared" si="12"/>
        <v>45.46348062049409</v>
      </c>
      <c r="F311" s="12">
        <f>SUM(D311-98.21146-96.41545-283.54791-696.4574)</f>
        <v>1409.0507799999998</v>
      </c>
      <c r="G311" s="12">
        <v>835.364</v>
      </c>
      <c r="H311" s="133" t="s">
        <v>166</v>
      </c>
      <c r="I311" s="60"/>
    </row>
    <row r="312" spans="1:16" s="23" customFormat="1" ht="38.25" customHeight="1">
      <c r="A312" s="131"/>
      <c r="B312" s="132"/>
      <c r="C312" s="1" t="s">
        <v>257</v>
      </c>
      <c r="D312" s="12"/>
      <c r="E312" s="55"/>
      <c r="F312" s="12"/>
      <c r="G312" s="12">
        <v>0.877</v>
      </c>
      <c r="H312" s="133"/>
      <c r="I312" s="21"/>
      <c r="J312" s="21"/>
      <c r="K312" s="21"/>
      <c r="L312" s="21"/>
      <c r="M312" s="21"/>
      <c r="N312" s="21"/>
      <c r="P312" s="22"/>
    </row>
    <row r="313" spans="1:9" ht="58.5" customHeight="1">
      <c r="A313" s="2" t="s">
        <v>110</v>
      </c>
      <c r="B313" s="1" t="s">
        <v>112</v>
      </c>
      <c r="C313" s="1" t="s">
        <v>276</v>
      </c>
      <c r="D313" s="12">
        <f>430+31.406</f>
        <v>461.406</v>
      </c>
      <c r="E313" s="55">
        <f t="shared" si="12"/>
        <v>90.09233299957087</v>
      </c>
      <c r="F313" s="12">
        <f>D313-(60.3528+37.0812+318.25743)</f>
        <v>45.71457000000004</v>
      </c>
      <c r="G313" s="12">
        <v>25.426</v>
      </c>
      <c r="H313" s="56" t="s">
        <v>166</v>
      </c>
      <c r="I313" s="60"/>
    </row>
    <row r="314" spans="1:9" ht="115.5" customHeight="1">
      <c r="A314" s="2" t="s">
        <v>110</v>
      </c>
      <c r="B314" s="1" t="s">
        <v>112</v>
      </c>
      <c r="C314" s="1" t="s">
        <v>277</v>
      </c>
      <c r="D314" s="12">
        <v>7534.352</v>
      </c>
      <c r="E314" s="55">
        <f t="shared" si="12"/>
        <v>3.8576097851547075</v>
      </c>
      <c r="F314" s="12">
        <f>D314-106.63782-184.00808</f>
        <v>7243.7061</v>
      </c>
      <c r="G314" s="12">
        <v>3.8</v>
      </c>
      <c r="H314" s="56" t="s">
        <v>166</v>
      </c>
      <c r="I314" s="60"/>
    </row>
    <row r="315" spans="1:9" ht="64.5" customHeight="1">
      <c r="A315" s="2" t="s">
        <v>110</v>
      </c>
      <c r="B315" s="1" t="s">
        <v>112</v>
      </c>
      <c r="C315" s="1" t="s">
        <v>278</v>
      </c>
      <c r="D315" s="12">
        <v>2037.432</v>
      </c>
      <c r="E315" s="55">
        <f>100-(F315/D315)*100</f>
        <v>10.877863899261428</v>
      </c>
      <c r="F315" s="12">
        <f>D315-75.93782-145.69126</f>
        <v>1815.8029199999999</v>
      </c>
      <c r="G315" s="12">
        <v>31.788</v>
      </c>
      <c r="H315" s="56" t="s">
        <v>166</v>
      </c>
      <c r="I315" s="60"/>
    </row>
    <row r="316" spans="1:9" ht="76.5" customHeight="1">
      <c r="A316" s="131" t="s">
        <v>110</v>
      </c>
      <c r="B316" s="132" t="s">
        <v>112</v>
      </c>
      <c r="C316" s="1" t="s">
        <v>311</v>
      </c>
      <c r="D316" s="12">
        <v>4500</v>
      </c>
      <c r="E316" s="55">
        <f>100-(F316/D316)*100</f>
        <v>6.00868088888889</v>
      </c>
      <c r="F316" s="12">
        <f>D316-169.644-100.74664</f>
        <v>4229.6093599999995</v>
      </c>
      <c r="G316" s="12">
        <v>65.675</v>
      </c>
      <c r="H316" s="133" t="s">
        <v>166</v>
      </c>
      <c r="I316" s="60"/>
    </row>
    <row r="317" spans="1:16" s="23" customFormat="1" ht="40.5" customHeight="1">
      <c r="A317" s="131"/>
      <c r="B317" s="132"/>
      <c r="C317" s="1" t="s">
        <v>257</v>
      </c>
      <c r="D317" s="12"/>
      <c r="E317" s="55"/>
      <c r="F317" s="12"/>
      <c r="G317" s="12">
        <v>35.675</v>
      </c>
      <c r="H317" s="133"/>
      <c r="I317" s="21"/>
      <c r="J317" s="21"/>
      <c r="K317" s="21"/>
      <c r="L317" s="21"/>
      <c r="M317" s="21"/>
      <c r="N317" s="21"/>
      <c r="P317" s="22"/>
    </row>
    <row r="318" spans="1:9" ht="76.5" customHeight="1">
      <c r="A318" s="2" t="s">
        <v>110</v>
      </c>
      <c r="B318" s="1" t="s">
        <v>112</v>
      </c>
      <c r="C318" s="1" t="s">
        <v>279</v>
      </c>
      <c r="D318" s="12">
        <v>1951.998</v>
      </c>
      <c r="E318" s="55">
        <f>100-(F318/D318)*100</f>
        <v>9.73150536014893</v>
      </c>
      <c r="F318" s="12">
        <f>D318-83.80703-106.15176</f>
        <v>1762.0392100000001</v>
      </c>
      <c r="G318" s="12">
        <v>9.117</v>
      </c>
      <c r="H318" s="56" t="s">
        <v>166</v>
      </c>
      <c r="I318" s="60"/>
    </row>
    <row r="319" spans="1:9" ht="76.5" customHeight="1">
      <c r="A319" s="2" t="s">
        <v>110</v>
      </c>
      <c r="B319" s="1" t="s">
        <v>112</v>
      </c>
      <c r="C319" s="1" t="s">
        <v>280</v>
      </c>
      <c r="D319" s="12">
        <v>325</v>
      </c>
      <c r="E319" s="55">
        <f>100-(F319/D319)*100</f>
        <v>82.55239384615385</v>
      </c>
      <c r="F319" s="12">
        <f>D319-268.29528</f>
        <v>56.70472000000001</v>
      </c>
      <c r="G319" s="12">
        <v>0.539</v>
      </c>
      <c r="H319" s="56" t="s">
        <v>166</v>
      </c>
      <c r="I319" s="60"/>
    </row>
    <row r="320" spans="1:9" ht="78.75" customHeight="1">
      <c r="A320" s="2" t="s">
        <v>110</v>
      </c>
      <c r="B320" s="1" t="s">
        <v>112</v>
      </c>
      <c r="C320" s="1" t="s">
        <v>281</v>
      </c>
      <c r="D320" s="12">
        <v>26444.077</v>
      </c>
      <c r="E320" s="59">
        <v>0</v>
      </c>
      <c r="F320" s="12">
        <f>SUM(D320-2968.98013-13451.95099-271.10955)</f>
        <v>9752.036330000003</v>
      </c>
      <c r="G320" s="12">
        <v>32.901</v>
      </c>
      <c r="H320" s="56" t="s">
        <v>166</v>
      </c>
      <c r="I320" s="60"/>
    </row>
    <row r="321" spans="1:9" ht="78.75" customHeight="1">
      <c r="A321" s="2" t="s">
        <v>110</v>
      </c>
      <c r="B321" s="1" t="s">
        <v>112</v>
      </c>
      <c r="C321" s="1" t="s">
        <v>282</v>
      </c>
      <c r="D321" s="12">
        <v>999.986</v>
      </c>
      <c r="E321" s="55">
        <f aca="true" t="shared" si="13" ref="E321:E330">100-(F321/D321)*100</f>
        <v>4.585515197212757</v>
      </c>
      <c r="F321" s="12">
        <f>SUM(D321-45.85451)</f>
        <v>954.13149</v>
      </c>
      <c r="G321" s="12">
        <v>1.507</v>
      </c>
      <c r="H321" s="56"/>
      <c r="I321" s="60"/>
    </row>
    <row r="322" spans="1:9" ht="78.75" customHeight="1">
      <c r="A322" s="2" t="s">
        <v>110</v>
      </c>
      <c r="B322" s="1" t="s">
        <v>112</v>
      </c>
      <c r="C322" s="1" t="s">
        <v>283</v>
      </c>
      <c r="D322" s="12">
        <v>987.421</v>
      </c>
      <c r="E322" s="55">
        <f t="shared" si="13"/>
        <v>4.226234807645369</v>
      </c>
      <c r="F322" s="12">
        <f>SUM(D322-41.73073)</f>
        <v>945.69027</v>
      </c>
      <c r="G322" s="12">
        <v>1.506</v>
      </c>
      <c r="H322" s="56"/>
      <c r="I322" s="60"/>
    </row>
    <row r="323" spans="1:9" ht="78.75" customHeight="1">
      <c r="A323" s="2" t="s">
        <v>110</v>
      </c>
      <c r="B323" s="1" t="s">
        <v>112</v>
      </c>
      <c r="C323" s="1" t="s">
        <v>284</v>
      </c>
      <c r="D323" s="12">
        <v>882.103</v>
      </c>
      <c r="E323" s="55">
        <f t="shared" si="13"/>
        <v>4.2919817753709</v>
      </c>
      <c r="F323" s="12">
        <f>SUM(D323-37.8597)</f>
        <v>844.2433</v>
      </c>
      <c r="G323" s="12">
        <v>1.394</v>
      </c>
      <c r="H323" s="56"/>
      <c r="I323" s="60"/>
    </row>
    <row r="324" spans="1:9" ht="78.75" customHeight="1">
      <c r="A324" s="2" t="s">
        <v>110</v>
      </c>
      <c r="B324" s="1" t="s">
        <v>112</v>
      </c>
      <c r="C324" s="1" t="s">
        <v>285</v>
      </c>
      <c r="D324" s="12">
        <v>999.994</v>
      </c>
      <c r="E324" s="55">
        <f t="shared" si="13"/>
        <v>4.3136898821393</v>
      </c>
      <c r="F324" s="12">
        <f>SUM(D324-43.13664)</f>
        <v>956.85736</v>
      </c>
      <c r="G324" s="12">
        <v>1.519</v>
      </c>
      <c r="H324" s="56"/>
      <c r="I324" s="60"/>
    </row>
    <row r="325" spans="1:9" ht="78.75" customHeight="1">
      <c r="A325" s="2" t="s">
        <v>110</v>
      </c>
      <c r="B325" s="1" t="s">
        <v>112</v>
      </c>
      <c r="C325" s="1" t="s">
        <v>286</v>
      </c>
      <c r="D325" s="12">
        <v>999.998</v>
      </c>
      <c r="E325" s="55">
        <f t="shared" si="13"/>
        <v>3.881165762331534</v>
      </c>
      <c r="F325" s="12">
        <f>SUM(D325-38.81158)</f>
        <v>961.18642</v>
      </c>
      <c r="G325" s="12">
        <v>1.521</v>
      </c>
      <c r="H325" s="56"/>
      <c r="I325" s="60"/>
    </row>
    <row r="326" spans="1:9" ht="60" customHeight="1">
      <c r="A326" s="131" t="s">
        <v>110</v>
      </c>
      <c r="B326" s="132" t="s">
        <v>112</v>
      </c>
      <c r="C326" s="1" t="s">
        <v>451</v>
      </c>
      <c r="D326" s="12">
        <v>1000</v>
      </c>
      <c r="E326" s="55">
        <f t="shared" si="13"/>
        <v>0</v>
      </c>
      <c r="F326" s="12">
        <v>1000</v>
      </c>
      <c r="G326" s="12">
        <v>300</v>
      </c>
      <c r="H326" s="133" t="s">
        <v>166</v>
      </c>
      <c r="I326" s="60"/>
    </row>
    <row r="327" spans="1:16" s="23" customFormat="1" ht="36.75" customHeight="1">
      <c r="A327" s="131"/>
      <c r="B327" s="132"/>
      <c r="C327" s="1" t="s">
        <v>257</v>
      </c>
      <c r="D327" s="12"/>
      <c r="E327" s="55"/>
      <c r="F327" s="12"/>
      <c r="G327" s="12">
        <v>24</v>
      </c>
      <c r="H327" s="133"/>
      <c r="I327" s="21"/>
      <c r="J327" s="21"/>
      <c r="K327" s="21"/>
      <c r="L327" s="21"/>
      <c r="M327" s="21"/>
      <c r="N327" s="21"/>
      <c r="P327" s="22"/>
    </row>
    <row r="328" spans="1:9" ht="57" customHeight="1">
      <c r="A328" s="2" t="s">
        <v>110</v>
      </c>
      <c r="B328" s="1" t="s">
        <v>112</v>
      </c>
      <c r="C328" s="1" t="s">
        <v>287</v>
      </c>
      <c r="D328" s="12">
        <v>820.137</v>
      </c>
      <c r="E328" s="55">
        <f t="shared" si="13"/>
        <v>22.53925868482949</v>
      </c>
      <c r="F328" s="12">
        <f>SUM(D328-184.8528)</f>
        <v>635.2841999999999</v>
      </c>
      <c r="G328" s="12">
        <v>322.874</v>
      </c>
      <c r="H328" s="56" t="s">
        <v>329</v>
      </c>
      <c r="I328" s="60"/>
    </row>
    <row r="329" spans="1:9" ht="37.5" customHeight="1">
      <c r="A329" s="2" t="s">
        <v>110</v>
      </c>
      <c r="B329" s="1" t="s">
        <v>112</v>
      </c>
      <c r="C329" s="1" t="s">
        <v>453</v>
      </c>
      <c r="D329" s="12">
        <v>811.974</v>
      </c>
      <c r="E329" s="55">
        <f>100-(F329/D329)*100</f>
        <v>0</v>
      </c>
      <c r="F329" s="12">
        <f>SUM(D329)</f>
        <v>811.974</v>
      </c>
      <c r="G329" s="12">
        <v>811.974</v>
      </c>
      <c r="H329" s="68" t="s">
        <v>166</v>
      </c>
      <c r="I329" s="60"/>
    </row>
    <row r="330" spans="1:9" ht="35.25" customHeight="1">
      <c r="A330" s="131" t="s">
        <v>110</v>
      </c>
      <c r="B330" s="132" t="s">
        <v>112</v>
      </c>
      <c r="C330" s="1" t="s">
        <v>312</v>
      </c>
      <c r="D330" s="12">
        <v>3216.012</v>
      </c>
      <c r="E330" s="55">
        <f t="shared" si="13"/>
        <v>64.5039629827252</v>
      </c>
      <c r="F330" s="12">
        <f>D330-3.48524-2070.96995</f>
        <v>1141.55681</v>
      </c>
      <c r="G330" s="12">
        <v>950.689</v>
      </c>
      <c r="H330" s="133" t="s">
        <v>166</v>
      </c>
      <c r="I330" s="60"/>
    </row>
    <row r="331" spans="1:16" s="23" customFormat="1" ht="38.25" customHeight="1">
      <c r="A331" s="131"/>
      <c r="B331" s="132"/>
      <c r="C331" s="1" t="s">
        <v>257</v>
      </c>
      <c r="D331" s="12"/>
      <c r="E331" s="55"/>
      <c r="F331" s="12"/>
      <c r="G331" s="12">
        <v>141.689</v>
      </c>
      <c r="H331" s="133"/>
      <c r="I331" s="21"/>
      <c r="J331" s="21"/>
      <c r="K331" s="21"/>
      <c r="L331" s="21"/>
      <c r="M331" s="21"/>
      <c r="N331" s="21"/>
      <c r="P331" s="22"/>
    </row>
    <row r="332" spans="1:9" ht="71.25" customHeight="1">
      <c r="A332" s="18" t="s">
        <v>110</v>
      </c>
      <c r="B332" s="73" t="s">
        <v>112</v>
      </c>
      <c r="C332" s="65" t="s">
        <v>55</v>
      </c>
      <c r="D332" s="12">
        <v>4621.54</v>
      </c>
      <c r="E332" s="55">
        <f>100-(F332/D332)*100</f>
        <v>1.9353488231195826</v>
      </c>
      <c r="F332" s="12">
        <f>D332-89.44292</f>
        <v>4532.09708</v>
      </c>
      <c r="G332" s="12">
        <v>0.123</v>
      </c>
      <c r="H332" s="68" t="s">
        <v>166</v>
      </c>
      <c r="I332" s="60"/>
    </row>
    <row r="333" spans="1:9" ht="55.5" customHeight="1">
      <c r="A333" s="131" t="s">
        <v>110</v>
      </c>
      <c r="B333" s="132" t="s">
        <v>112</v>
      </c>
      <c r="C333" s="1" t="s">
        <v>242</v>
      </c>
      <c r="D333" s="12">
        <v>560</v>
      </c>
      <c r="E333" s="55">
        <f>100-(F333/D333)*100</f>
        <v>0</v>
      </c>
      <c r="F333" s="12">
        <f>D333</f>
        <v>560</v>
      </c>
      <c r="G333" s="12">
        <v>560</v>
      </c>
      <c r="H333" s="133" t="s">
        <v>166</v>
      </c>
      <c r="I333" s="60"/>
    </row>
    <row r="334" spans="1:16" s="23" customFormat="1" ht="38.25" customHeight="1">
      <c r="A334" s="131"/>
      <c r="B334" s="132"/>
      <c r="C334" s="1" t="s">
        <v>257</v>
      </c>
      <c r="D334" s="12"/>
      <c r="E334" s="55"/>
      <c r="F334" s="12"/>
      <c r="G334" s="12">
        <v>50</v>
      </c>
      <c r="H334" s="133"/>
      <c r="I334" s="21"/>
      <c r="J334" s="21"/>
      <c r="K334" s="21"/>
      <c r="L334" s="21"/>
      <c r="M334" s="21"/>
      <c r="N334" s="21"/>
      <c r="P334" s="22"/>
    </row>
    <row r="335" spans="1:9" ht="57" customHeight="1">
      <c r="A335" s="131" t="s">
        <v>110</v>
      </c>
      <c r="B335" s="132" t="s">
        <v>112</v>
      </c>
      <c r="C335" s="1" t="s">
        <v>229</v>
      </c>
      <c r="D335" s="12">
        <v>1802.026</v>
      </c>
      <c r="E335" s="55">
        <f>100-(F335/D335)*100</f>
        <v>2.662203542013259</v>
      </c>
      <c r="F335" s="12">
        <f>SUM(D335-47.9736)</f>
        <v>1754.0524</v>
      </c>
      <c r="G335" s="12">
        <v>55.998</v>
      </c>
      <c r="H335" s="133" t="s">
        <v>166</v>
      </c>
      <c r="I335" s="60"/>
    </row>
    <row r="336" spans="1:16" s="23" customFormat="1" ht="38.25" customHeight="1">
      <c r="A336" s="131"/>
      <c r="B336" s="132"/>
      <c r="C336" s="1" t="s">
        <v>257</v>
      </c>
      <c r="D336" s="12"/>
      <c r="E336" s="55"/>
      <c r="F336" s="12"/>
      <c r="G336" s="12">
        <v>28.998</v>
      </c>
      <c r="H336" s="133"/>
      <c r="I336" s="21"/>
      <c r="J336" s="21"/>
      <c r="K336" s="21"/>
      <c r="L336" s="21"/>
      <c r="M336" s="21"/>
      <c r="N336" s="21"/>
      <c r="P336" s="22"/>
    </row>
    <row r="337" spans="1:9" ht="57.75" customHeight="1">
      <c r="A337" s="2" t="s">
        <v>110</v>
      </c>
      <c r="B337" s="1" t="s">
        <v>112</v>
      </c>
      <c r="C337" s="74" t="s">
        <v>247</v>
      </c>
      <c r="D337" s="28">
        <v>19003</v>
      </c>
      <c r="E337" s="55">
        <f>100-(F337/D337)*100</f>
        <v>0</v>
      </c>
      <c r="F337" s="28">
        <f>SUM(D337)</f>
        <v>19003</v>
      </c>
      <c r="G337" s="28">
        <v>400</v>
      </c>
      <c r="H337" s="56" t="s">
        <v>166</v>
      </c>
      <c r="I337" s="60"/>
    </row>
    <row r="338" spans="1:9" ht="37.5" customHeight="1">
      <c r="A338" s="2" t="s">
        <v>110</v>
      </c>
      <c r="B338" s="1" t="s">
        <v>112</v>
      </c>
      <c r="C338" s="74" t="s">
        <v>212</v>
      </c>
      <c r="D338" s="28">
        <v>600</v>
      </c>
      <c r="E338" s="55">
        <f>100-(F338/D338)*100</f>
        <v>0</v>
      </c>
      <c r="F338" s="28">
        <v>600</v>
      </c>
      <c r="G338" s="28">
        <v>600</v>
      </c>
      <c r="H338" s="56" t="s">
        <v>166</v>
      </c>
      <c r="I338" s="60"/>
    </row>
    <row r="339" spans="1:9" ht="98.25" customHeight="1">
      <c r="A339" s="2" t="s">
        <v>110</v>
      </c>
      <c r="B339" s="1" t="s">
        <v>112</v>
      </c>
      <c r="C339" s="75" t="s">
        <v>128</v>
      </c>
      <c r="D339" s="12">
        <f>329+180</f>
        <v>509</v>
      </c>
      <c r="E339" s="55">
        <f>100-(F339/D339)*100</f>
        <v>0</v>
      </c>
      <c r="F339" s="12">
        <f>D339</f>
        <v>509</v>
      </c>
      <c r="G339" s="12">
        <v>180</v>
      </c>
      <c r="H339" s="56" t="s">
        <v>166</v>
      </c>
      <c r="I339" s="60"/>
    </row>
    <row r="340" spans="1:9" ht="38.25" customHeight="1">
      <c r="A340" s="2" t="s">
        <v>110</v>
      </c>
      <c r="B340" s="74" t="s">
        <v>112</v>
      </c>
      <c r="C340" s="4" t="s">
        <v>139</v>
      </c>
      <c r="D340" s="28">
        <v>1200</v>
      </c>
      <c r="E340" s="55">
        <f>100-(F340/D340)*100</f>
        <v>0</v>
      </c>
      <c r="F340" s="28">
        <v>1200</v>
      </c>
      <c r="G340" s="28">
        <v>200</v>
      </c>
      <c r="H340" s="56" t="s">
        <v>166</v>
      </c>
      <c r="I340" s="60"/>
    </row>
    <row r="341" spans="1:9" ht="37.5" customHeight="1">
      <c r="A341" s="131" t="s">
        <v>110</v>
      </c>
      <c r="B341" s="132" t="s">
        <v>112</v>
      </c>
      <c r="C341" s="74" t="s">
        <v>133</v>
      </c>
      <c r="D341" s="28">
        <v>224.328</v>
      </c>
      <c r="E341" s="55">
        <f>100-(F341/D341)*100</f>
        <v>0</v>
      </c>
      <c r="F341" s="28">
        <v>224.328</v>
      </c>
      <c r="G341" s="28">
        <v>224.328</v>
      </c>
      <c r="H341" s="133"/>
      <c r="I341" s="60"/>
    </row>
    <row r="342" spans="1:16" s="23" customFormat="1" ht="37.5" customHeight="1">
      <c r="A342" s="131"/>
      <c r="B342" s="132"/>
      <c r="C342" s="1" t="s">
        <v>257</v>
      </c>
      <c r="D342" s="12"/>
      <c r="E342" s="55"/>
      <c r="F342" s="12"/>
      <c r="G342" s="12">
        <v>27.421</v>
      </c>
      <c r="H342" s="133"/>
      <c r="I342" s="21"/>
      <c r="J342" s="21"/>
      <c r="K342" s="21"/>
      <c r="L342" s="21"/>
      <c r="M342" s="21"/>
      <c r="N342" s="21"/>
      <c r="P342" s="22"/>
    </row>
    <row r="343" spans="1:9" ht="37.5" customHeight="1">
      <c r="A343" s="131" t="s">
        <v>110</v>
      </c>
      <c r="B343" s="132" t="s">
        <v>112</v>
      </c>
      <c r="C343" s="74" t="s">
        <v>134</v>
      </c>
      <c r="D343" s="28">
        <v>206.191</v>
      </c>
      <c r="E343" s="55">
        <f>100-(F343/D343)*100</f>
        <v>0</v>
      </c>
      <c r="F343" s="28">
        <v>206.191</v>
      </c>
      <c r="G343" s="28">
        <v>206.191</v>
      </c>
      <c r="H343" s="133"/>
      <c r="I343" s="60"/>
    </row>
    <row r="344" spans="1:16" s="23" customFormat="1" ht="37.5" customHeight="1">
      <c r="A344" s="131"/>
      <c r="B344" s="132"/>
      <c r="C344" s="1" t="s">
        <v>257</v>
      </c>
      <c r="D344" s="12"/>
      <c r="E344" s="55"/>
      <c r="F344" s="12"/>
      <c r="G344" s="12">
        <v>24.459</v>
      </c>
      <c r="H344" s="133"/>
      <c r="I344" s="21"/>
      <c r="J344" s="21"/>
      <c r="K344" s="21"/>
      <c r="L344" s="21"/>
      <c r="M344" s="21"/>
      <c r="N344" s="21"/>
      <c r="P344" s="22"/>
    </row>
    <row r="345" spans="1:9" ht="56.25" customHeight="1">
      <c r="A345" s="131" t="s">
        <v>110</v>
      </c>
      <c r="B345" s="132" t="s">
        <v>112</v>
      </c>
      <c r="C345" s="74" t="s">
        <v>140</v>
      </c>
      <c r="D345" s="28">
        <v>173.866</v>
      </c>
      <c r="E345" s="55">
        <f>100-(F345/D345)*100</f>
        <v>0</v>
      </c>
      <c r="F345" s="28">
        <v>173.866</v>
      </c>
      <c r="G345" s="28">
        <v>173.866</v>
      </c>
      <c r="H345" s="133"/>
      <c r="I345" s="60"/>
    </row>
    <row r="346" spans="1:16" s="23" customFormat="1" ht="36.75" customHeight="1">
      <c r="A346" s="131"/>
      <c r="B346" s="132"/>
      <c r="C346" s="1" t="s">
        <v>257</v>
      </c>
      <c r="D346" s="12"/>
      <c r="E346" s="55"/>
      <c r="F346" s="12"/>
      <c r="G346" s="12">
        <v>24.459</v>
      </c>
      <c r="H346" s="133"/>
      <c r="I346" s="21"/>
      <c r="J346" s="21"/>
      <c r="K346" s="21"/>
      <c r="L346" s="21"/>
      <c r="M346" s="21"/>
      <c r="N346" s="21"/>
      <c r="P346" s="22"/>
    </row>
    <row r="347" spans="1:9" s="72" customFormat="1" ht="37.5">
      <c r="A347" s="54">
        <v>150101</v>
      </c>
      <c r="B347" s="1" t="s">
        <v>112</v>
      </c>
      <c r="C347" s="1" t="s">
        <v>93</v>
      </c>
      <c r="D347" s="12">
        <v>199.007</v>
      </c>
      <c r="E347" s="55">
        <f>100-(F347/D347)*100</f>
        <v>0</v>
      </c>
      <c r="F347" s="12">
        <v>199.007</v>
      </c>
      <c r="G347" s="12">
        <v>199.007</v>
      </c>
      <c r="H347" s="56"/>
      <c r="I347" s="71"/>
    </row>
    <row r="348" spans="1:9" s="72" customFormat="1" ht="56.25">
      <c r="A348" s="54">
        <v>150101</v>
      </c>
      <c r="B348" s="1" t="s">
        <v>112</v>
      </c>
      <c r="C348" s="1" t="s">
        <v>56</v>
      </c>
      <c r="D348" s="12">
        <v>170.506</v>
      </c>
      <c r="E348" s="55">
        <f>100-(F348/D348)*100</f>
        <v>0</v>
      </c>
      <c r="F348" s="12">
        <f aca="true" t="shared" si="14" ref="F348:F354">SUM(D348)</f>
        <v>170.506</v>
      </c>
      <c r="G348" s="12">
        <v>170.506</v>
      </c>
      <c r="H348" s="56"/>
      <c r="I348" s="71"/>
    </row>
    <row r="349" spans="1:9" ht="99" customHeight="1">
      <c r="A349" s="2" t="s">
        <v>110</v>
      </c>
      <c r="B349" s="1" t="s">
        <v>112</v>
      </c>
      <c r="C349" s="4" t="s">
        <v>58</v>
      </c>
      <c r="D349" s="28">
        <v>1864.696</v>
      </c>
      <c r="E349" s="55">
        <f>100-(F349/D349)*100</f>
        <v>0</v>
      </c>
      <c r="F349" s="28">
        <f t="shared" si="14"/>
        <v>1864.696</v>
      </c>
      <c r="G349" s="28">
        <v>222.588</v>
      </c>
      <c r="H349" s="56" t="s">
        <v>166</v>
      </c>
      <c r="I349" s="60"/>
    </row>
    <row r="350" spans="1:16" s="23" customFormat="1" ht="77.25" customHeight="1">
      <c r="A350" s="2" t="s">
        <v>110</v>
      </c>
      <c r="B350" s="1" t="s">
        <v>112</v>
      </c>
      <c r="C350" s="4" t="s">
        <v>57</v>
      </c>
      <c r="D350" s="12">
        <v>999.767</v>
      </c>
      <c r="E350" s="55">
        <f>100-(F350/D350)*100</f>
        <v>0</v>
      </c>
      <c r="F350" s="12">
        <f t="shared" si="14"/>
        <v>999.767</v>
      </c>
      <c r="G350" s="12">
        <v>999.767</v>
      </c>
      <c r="H350" s="56" t="s">
        <v>166</v>
      </c>
      <c r="I350" s="21"/>
      <c r="J350" s="21"/>
      <c r="K350" s="21"/>
      <c r="L350" s="21"/>
      <c r="M350" s="21"/>
      <c r="N350" s="21"/>
      <c r="P350" s="22"/>
    </row>
    <row r="351" spans="1:9" ht="60.75" customHeight="1">
      <c r="A351" s="2" t="s">
        <v>110</v>
      </c>
      <c r="B351" s="1" t="s">
        <v>112</v>
      </c>
      <c r="C351" s="1" t="s">
        <v>232</v>
      </c>
      <c r="D351" s="28">
        <v>160.4</v>
      </c>
      <c r="E351" s="55">
        <f aca="true" t="shared" si="15" ref="E351:E359">100-(F351/D351)*100</f>
        <v>0</v>
      </c>
      <c r="F351" s="28">
        <f t="shared" si="14"/>
        <v>160.4</v>
      </c>
      <c r="G351" s="28">
        <v>160.4</v>
      </c>
      <c r="H351" s="56" t="s">
        <v>166</v>
      </c>
      <c r="I351" s="60"/>
    </row>
    <row r="352" spans="1:9" ht="78" customHeight="1">
      <c r="A352" s="2" t="s">
        <v>110</v>
      </c>
      <c r="B352" s="1" t="s">
        <v>112</v>
      </c>
      <c r="C352" s="1" t="s">
        <v>233</v>
      </c>
      <c r="D352" s="28">
        <v>999.431</v>
      </c>
      <c r="E352" s="55">
        <f t="shared" si="15"/>
        <v>0</v>
      </c>
      <c r="F352" s="28">
        <f t="shared" si="14"/>
        <v>999.431</v>
      </c>
      <c r="G352" s="28">
        <v>951.251</v>
      </c>
      <c r="H352" s="56" t="s">
        <v>166</v>
      </c>
      <c r="I352" s="60"/>
    </row>
    <row r="353" spans="1:9" ht="75.75" customHeight="1">
      <c r="A353" s="2" t="s">
        <v>110</v>
      </c>
      <c r="B353" s="1" t="s">
        <v>112</v>
      </c>
      <c r="C353" s="65" t="s">
        <v>452</v>
      </c>
      <c r="D353" s="64">
        <v>110</v>
      </c>
      <c r="E353" s="70">
        <f t="shared" si="15"/>
        <v>0</v>
      </c>
      <c r="F353" s="64">
        <f t="shared" si="14"/>
        <v>110</v>
      </c>
      <c r="G353" s="12">
        <v>0.495</v>
      </c>
      <c r="H353" s="56" t="s">
        <v>166</v>
      </c>
      <c r="I353" s="60"/>
    </row>
    <row r="354" spans="1:8" ht="76.5" customHeight="1">
      <c r="A354" s="2" t="s">
        <v>110</v>
      </c>
      <c r="B354" s="1" t="s">
        <v>112</v>
      </c>
      <c r="C354" s="1" t="s">
        <v>64</v>
      </c>
      <c r="D354" s="29">
        <v>376.904</v>
      </c>
      <c r="E354" s="55">
        <f>100-(F354/D354)*100</f>
        <v>0</v>
      </c>
      <c r="F354" s="31">
        <f t="shared" si="14"/>
        <v>376.904</v>
      </c>
      <c r="G354" s="29">
        <v>29.247</v>
      </c>
      <c r="H354" s="56" t="s">
        <v>166</v>
      </c>
    </row>
    <row r="355" spans="1:8" ht="43.5" customHeight="1">
      <c r="A355" s="2" t="s">
        <v>110</v>
      </c>
      <c r="B355" s="1" t="s">
        <v>112</v>
      </c>
      <c r="C355" s="1" t="s">
        <v>65</v>
      </c>
      <c r="D355" s="12">
        <v>6008</v>
      </c>
      <c r="E355" s="55">
        <f>100-(F355/D355)*100</f>
        <v>0</v>
      </c>
      <c r="F355" s="12">
        <f>SUM(D355)</f>
        <v>6008</v>
      </c>
      <c r="G355" s="12">
        <v>347.657</v>
      </c>
      <c r="H355" s="56" t="s">
        <v>166</v>
      </c>
    </row>
    <row r="356" spans="1:9" ht="77.25" customHeight="1">
      <c r="A356" s="2" t="s">
        <v>110</v>
      </c>
      <c r="B356" s="1" t="s">
        <v>112</v>
      </c>
      <c r="C356" s="1" t="s">
        <v>288</v>
      </c>
      <c r="D356" s="12">
        <v>330</v>
      </c>
      <c r="E356" s="55">
        <f t="shared" si="15"/>
        <v>0</v>
      </c>
      <c r="F356" s="12">
        <f>D356-0</f>
        <v>330</v>
      </c>
      <c r="G356" s="12">
        <v>71.323</v>
      </c>
      <c r="H356" s="56" t="s">
        <v>166</v>
      </c>
      <c r="I356" s="60"/>
    </row>
    <row r="357" spans="1:9" ht="77.25" customHeight="1">
      <c r="A357" s="2" t="s">
        <v>110</v>
      </c>
      <c r="B357" s="1" t="s">
        <v>112</v>
      </c>
      <c r="C357" s="1" t="s">
        <v>59</v>
      </c>
      <c r="D357" s="12">
        <v>353.037</v>
      </c>
      <c r="E357" s="55">
        <f t="shared" si="15"/>
        <v>0</v>
      </c>
      <c r="F357" s="12">
        <f>SUM(D357)</f>
        <v>353.037</v>
      </c>
      <c r="G357" s="12">
        <v>353.037</v>
      </c>
      <c r="H357" s="56" t="s">
        <v>166</v>
      </c>
      <c r="I357" s="60"/>
    </row>
    <row r="358" spans="1:9" ht="56.25" customHeight="1">
      <c r="A358" s="2" t="s">
        <v>110</v>
      </c>
      <c r="B358" s="1" t="s">
        <v>112</v>
      </c>
      <c r="C358" s="1" t="s">
        <v>289</v>
      </c>
      <c r="D358" s="12">
        <v>1600.549</v>
      </c>
      <c r="E358" s="55">
        <f t="shared" si="15"/>
        <v>61.343151006310954</v>
      </c>
      <c r="F358" s="12">
        <f>1590.766-972.04419</f>
        <v>618.7218100000001</v>
      </c>
      <c r="G358" s="12">
        <v>482.465</v>
      </c>
      <c r="H358" s="56" t="s">
        <v>166</v>
      </c>
      <c r="I358" s="60"/>
    </row>
    <row r="359" spans="1:9" ht="56.25" customHeight="1">
      <c r="A359" s="2" t="s">
        <v>110</v>
      </c>
      <c r="B359" s="1" t="s">
        <v>112</v>
      </c>
      <c r="C359" s="1" t="s">
        <v>323</v>
      </c>
      <c r="D359" s="12">
        <v>496.412</v>
      </c>
      <c r="E359" s="55">
        <f t="shared" si="15"/>
        <v>0</v>
      </c>
      <c r="F359" s="12">
        <f>D359-0</f>
        <v>496.412</v>
      </c>
      <c r="G359" s="12">
        <v>486.778</v>
      </c>
      <c r="H359" s="56" t="s">
        <v>166</v>
      </c>
      <c r="I359" s="60"/>
    </row>
    <row r="360" spans="1:9" ht="53.25" customHeight="1">
      <c r="A360" s="2" t="s">
        <v>110</v>
      </c>
      <c r="B360" s="1" t="s">
        <v>112</v>
      </c>
      <c r="C360" s="1" t="s">
        <v>324</v>
      </c>
      <c r="D360" s="12">
        <v>500</v>
      </c>
      <c r="E360" s="55">
        <f>100-(F360/D360)*100</f>
        <v>0</v>
      </c>
      <c r="F360" s="12">
        <v>500</v>
      </c>
      <c r="G360" s="12">
        <v>500</v>
      </c>
      <c r="H360" s="56" t="s">
        <v>166</v>
      </c>
      <c r="I360" s="60"/>
    </row>
    <row r="361" spans="1:9" ht="42" customHeight="1">
      <c r="A361" s="125" t="s">
        <v>137</v>
      </c>
      <c r="B361" s="127" t="s">
        <v>244</v>
      </c>
      <c r="C361" s="74" t="s">
        <v>100</v>
      </c>
      <c r="D361" s="12"/>
      <c r="E361" s="55"/>
      <c r="F361" s="12"/>
      <c r="G361" s="12">
        <f>SUM(G363:G366)</f>
        <v>9194.72</v>
      </c>
      <c r="H361" s="56"/>
      <c r="I361" s="60"/>
    </row>
    <row r="362" spans="1:9" s="80" customFormat="1" ht="18.75">
      <c r="A362" s="130"/>
      <c r="B362" s="129"/>
      <c r="C362" s="69" t="s">
        <v>94</v>
      </c>
      <c r="D362" s="30"/>
      <c r="E362" s="77"/>
      <c r="F362" s="30"/>
      <c r="G362" s="30"/>
      <c r="H362" s="78"/>
      <c r="I362" s="79"/>
    </row>
    <row r="363" spans="1:9" s="80" customFormat="1" ht="131.25">
      <c r="A363" s="130"/>
      <c r="B363" s="129"/>
      <c r="C363" s="69" t="s">
        <v>98</v>
      </c>
      <c r="D363" s="30"/>
      <c r="E363" s="77"/>
      <c r="F363" s="30"/>
      <c r="G363" s="12">
        <v>3500</v>
      </c>
      <c r="H363" s="56" t="s">
        <v>101</v>
      </c>
      <c r="I363" s="79"/>
    </row>
    <row r="364" spans="1:9" s="80" customFormat="1" ht="95.25" customHeight="1">
      <c r="A364" s="130"/>
      <c r="B364" s="129"/>
      <c r="C364" s="11" t="s">
        <v>99</v>
      </c>
      <c r="D364" s="30"/>
      <c r="E364" s="77"/>
      <c r="F364" s="30"/>
      <c r="G364" s="12">
        <v>2500</v>
      </c>
      <c r="H364" s="56" t="s">
        <v>327</v>
      </c>
      <c r="I364" s="79"/>
    </row>
    <row r="365" spans="1:9" s="80" customFormat="1" ht="81" customHeight="1">
      <c r="A365" s="130"/>
      <c r="B365" s="129"/>
      <c r="C365" s="69" t="s">
        <v>60</v>
      </c>
      <c r="D365" s="30"/>
      <c r="E365" s="77"/>
      <c r="F365" s="30"/>
      <c r="G365" s="12">
        <v>506.62</v>
      </c>
      <c r="H365" s="81" t="s">
        <v>102</v>
      </c>
      <c r="I365" s="79"/>
    </row>
    <row r="366" spans="1:9" s="80" customFormat="1" ht="56.25" customHeight="1">
      <c r="A366" s="126"/>
      <c r="B366" s="128"/>
      <c r="C366" s="1" t="s">
        <v>70</v>
      </c>
      <c r="D366" s="30"/>
      <c r="E366" s="77"/>
      <c r="F366" s="30"/>
      <c r="G366" s="12">
        <v>2688.1</v>
      </c>
      <c r="H366" s="29" t="s">
        <v>69</v>
      </c>
      <c r="I366" s="79"/>
    </row>
    <row r="367" spans="1:9" s="72" customFormat="1" ht="58.5" customHeight="1">
      <c r="A367" s="134">
        <v>180409</v>
      </c>
      <c r="B367" s="132" t="s">
        <v>244</v>
      </c>
      <c r="C367" s="1" t="s">
        <v>97</v>
      </c>
      <c r="D367" s="27"/>
      <c r="E367" s="70"/>
      <c r="F367" s="27"/>
      <c r="G367" s="12">
        <f>SUM(G369:G370)</f>
        <v>5134.878</v>
      </c>
      <c r="H367" s="56"/>
      <c r="I367" s="71"/>
    </row>
    <row r="368" spans="1:9" s="80" customFormat="1" ht="18.75">
      <c r="A368" s="134"/>
      <c r="B368" s="132"/>
      <c r="C368" s="69" t="s">
        <v>94</v>
      </c>
      <c r="D368" s="30"/>
      <c r="E368" s="77"/>
      <c r="F368" s="30"/>
      <c r="G368" s="30"/>
      <c r="H368" s="78"/>
      <c r="I368" s="79"/>
    </row>
    <row r="369" spans="1:9" s="80" customFormat="1" ht="112.5">
      <c r="A369" s="134"/>
      <c r="B369" s="132"/>
      <c r="C369" s="69" t="s">
        <v>95</v>
      </c>
      <c r="D369" s="30"/>
      <c r="E369" s="77"/>
      <c r="F369" s="30"/>
      <c r="G369" s="12">
        <v>2199.604</v>
      </c>
      <c r="H369" s="56" t="s">
        <v>101</v>
      </c>
      <c r="I369" s="79"/>
    </row>
    <row r="370" spans="1:9" s="80" customFormat="1" ht="153" customHeight="1">
      <c r="A370" s="134"/>
      <c r="B370" s="132"/>
      <c r="C370" s="69" t="s">
        <v>96</v>
      </c>
      <c r="D370" s="30"/>
      <c r="E370" s="77"/>
      <c r="F370" s="30"/>
      <c r="G370" s="12">
        <v>2935.274</v>
      </c>
      <c r="H370" s="56" t="s">
        <v>327</v>
      </c>
      <c r="I370" s="79"/>
    </row>
    <row r="371" spans="1:16" s="23" customFormat="1" ht="93.75" customHeight="1">
      <c r="A371" s="19" t="s">
        <v>222</v>
      </c>
      <c r="B371" s="1" t="s">
        <v>223</v>
      </c>
      <c r="C371" s="1"/>
      <c r="D371" s="12">
        <f>SUM(D372:D373)</f>
        <v>2355.141</v>
      </c>
      <c r="E371" s="12"/>
      <c r="F371" s="12">
        <f>SUM(F372:F373)</f>
        <v>2355.141</v>
      </c>
      <c r="G371" s="12">
        <f>SUM(G372:G373)</f>
        <v>4823.755999999999</v>
      </c>
      <c r="H371" s="3"/>
      <c r="I371" s="20"/>
      <c r="J371" s="20"/>
      <c r="K371" s="20"/>
      <c r="L371" s="20"/>
      <c r="M371" s="20"/>
      <c r="N371" s="20"/>
      <c r="O371" s="21"/>
      <c r="P371" s="22"/>
    </row>
    <row r="372" spans="1:16" s="23" customFormat="1" ht="57.75" customHeight="1">
      <c r="A372" s="19" t="s">
        <v>110</v>
      </c>
      <c r="B372" s="1" t="s">
        <v>112</v>
      </c>
      <c r="C372" s="1" t="s">
        <v>73</v>
      </c>
      <c r="D372" s="12">
        <v>2355.141</v>
      </c>
      <c r="E372" s="55">
        <f>100-(F372/D372)*100</f>
        <v>0</v>
      </c>
      <c r="F372" s="12">
        <v>2355.141</v>
      </c>
      <c r="G372" s="12">
        <v>2355.141</v>
      </c>
      <c r="H372" s="3"/>
      <c r="I372" s="20"/>
      <c r="J372" s="20"/>
      <c r="K372" s="20"/>
      <c r="L372" s="20"/>
      <c r="M372" s="20"/>
      <c r="N372" s="20"/>
      <c r="O372" s="21"/>
      <c r="P372" s="22"/>
    </row>
    <row r="373" spans="1:16" s="23" customFormat="1" ht="39.75" customHeight="1">
      <c r="A373" s="136">
        <v>180409</v>
      </c>
      <c r="B373" s="132" t="s">
        <v>244</v>
      </c>
      <c r="C373" s="74" t="s">
        <v>100</v>
      </c>
      <c r="D373" s="12"/>
      <c r="E373" s="55"/>
      <c r="F373" s="12"/>
      <c r="G373" s="12">
        <f>SUM(G375:G376)</f>
        <v>2468.615</v>
      </c>
      <c r="H373" s="56"/>
      <c r="I373" s="21"/>
      <c r="J373" s="21"/>
      <c r="K373" s="21"/>
      <c r="L373" s="21"/>
      <c r="M373" s="21"/>
      <c r="N373" s="21"/>
      <c r="P373" s="22"/>
    </row>
    <row r="374" spans="1:9" s="80" customFormat="1" ht="21.75" customHeight="1">
      <c r="A374" s="136"/>
      <c r="B374" s="132"/>
      <c r="C374" s="69" t="s">
        <v>94</v>
      </c>
      <c r="D374" s="30"/>
      <c r="E374" s="30"/>
      <c r="F374" s="30"/>
      <c r="G374" s="30"/>
      <c r="H374" s="78"/>
      <c r="I374" s="79"/>
    </row>
    <row r="375" spans="1:9" s="80" customFormat="1" ht="111" customHeight="1">
      <c r="A375" s="136"/>
      <c r="B375" s="132"/>
      <c r="C375" s="1" t="s">
        <v>75</v>
      </c>
      <c r="D375" s="27"/>
      <c r="E375" s="27"/>
      <c r="F375" s="27"/>
      <c r="G375" s="12">
        <v>1833.673</v>
      </c>
      <c r="H375" s="81" t="s">
        <v>74</v>
      </c>
      <c r="I375" s="79"/>
    </row>
    <row r="376" spans="1:9" s="80" customFormat="1" ht="72" customHeight="1">
      <c r="A376" s="136"/>
      <c r="B376" s="132"/>
      <c r="C376" s="1" t="s">
        <v>103</v>
      </c>
      <c r="D376" s="27"/>
      <c r="E376" s="27"/>
      <c r="F376" s="27"/>
      <c r="G376" s="12">
        <v>634.942</v>
      </c>
      <c r="H376" s="81" t="s">
        <v>104</v>
      </c>
      <c r="I376" s="79"/>
    </row>
    <row r="377" spans="1:9" ht="55.5" customHeight="1">
      <c r="A377" s="54">
        <v>73</v>
      </c>
      <c r="B377" s="1" t="s">
        <v>116</v>
      </c>
      <c r="C377" s="1"/>
      <c r="D377" s="12">
        <f>SUM(D378:D392)</f>
        <v>118483.678</v>
      </c>
      <c r="E377" s="12"/>
      <c r="F377" s="12">
        <f>SUM(F378:F392)</f>
        <v>106742.66422</v>
      </c>
      <c r="G377" s="12">
        <f>SUM(G378:G392)-G390-G388-G382-G384-G386</f>
        <v>19724.748</v>
      </c>
      <c r="H377" s="56"/>
      <c r="I377" s="60"/>
    </row>
    <row r="378" spans="1:9" ht="45" customHeight="1">
      <c r="A378" s="2" t="s">
        <v>110</v>
      </c>
      <c r="B378" s="1" t="s">
        <v>112</v>
      </c>
      <c r="C378" s="1" t="s">
        <v>145</v>
      </c>
      <c r="D378" s="12">
        <v>13415.939</v>
      </c>
      <c r="E378" s="55">
        <f>100-(F378/D378)*100</f>
        <v>39.61472596141052</v>
      </c>
      <c r="F378" s="12">
        <f>SUM(D378-(2.65228+224.04934+1231.39282+3025.28968+831.30335))</f>
        <v>8101.2515300000005</v>
      </c>
      <c r="G378" s="12">
        <v>8101.252</v>
      </c>
      <c r="H378" s="56" t="s">
        <v>166</v>
      </c>
      <c r="I378" s="60"/>
    </row>
    <row r="379" spans="1:9" ht="61.5" customHeight="1">
      <c r="A379" s="2" t="s">
        <v>110</v>
      </c>
      <c r="B379" s="1" t="s">
        <v>112</v>
      </c>
      <c r="C379" s="1" t="s">
        <v>117</v>
      </c>
      <c r="D379" s="12">
        <f>2952.107</f>
        <v>2952.107</v>
      </c>
      <c r="E379" s="55">
        <f aca="true" t="shared" si="16" ref="E379:E404">100-(F379/D379)*100</f>
        <v>62.850767265549656</v>
      </c>
      <c r="F379" s="12">
        <f>SUM(D379)-(300+1551.5749+3.847)</f>
        <v>1096.6851</v>
      </c>
      <c r="G379" s="12">
        <v>96.685</v>
      </c>
      <c r="H379" s="56" t="s">
        <v>166</v>
      </c>
      <c r="I379" s="60"/>
    </row>
    <row r="380" spans="1:9" ht="93" customHeight="1">
      <c r="A380" s="2" t="s">
        <v>110</v>
      </c>
      <c r="B380" s="1" t="s">
        <v>112</v>
      </c>
      <c r="C380" s="1" t="s">
        <v>290</v>
      </c>
      <c r="D380" s="82">
        <v>3836.2</v>
      </c>
      <c r="E380" s="55">
        <f t="shared" si="16"/>
        <v>4.809598039726808</v>
      </c>
      <c r="F380" s="82">
        <f>D380-(28.537+155.9688)</f>
        <v>3651.6942</v>
      </c>
      <c r="G380" s="12">
        <v>31.223</v>
      </c>
      <c r="H380" s="56" t="s">
        <v>166</v>
      </c>
      <c r="I380" s="60"/>
    </row>
    <row r="381" spans="1:9" ht="60" customHeight="1">
      <c r="A381" s="125" t="s">
        <v>110</v>
      </c>
      <c r="B381" s="127" t="s">
        <v>112</v>
      </c>
      <c r="C381" s="4" t="s">
        <v>76</v>
      </c>
      <c r="D381" s="12">
        <v>40486.207</v>
      </c>
      <c r="E381" s="55">
        <f t="shared" si="16"/>
        <v>1.1220549507144426</v>
      </c>
      <c r="F381" s="12">
        <f>D381-(160+149.35361+138.64421+6.27967)</f>
        <v>40031.92951</v>
      </c>
      <c r="G381" s="12">
        <f>18.061</f>
        <v>18.061</v>
      </c>
      <c r="H381" s="123" t="s">
        <v>166</v>
      </c>
      <c r="I381" s="60"/>
    </row>
    <row r="382" spans="1:16" s="23" customFormat="1" ht="34.5" customHeight="1">
      <c r="A382" s="126"/>
      <c r="B382" s="128"/>
      <c r="C382" s="1" t="s">
        <v>257</v>
      </c>
      <c r="D382" s="12"/>
      <c r="E382" s="55"/>
      <c r="F382" s="12"/>
      <c r="G382" s="12">
        <v>3.408</v>
      </c>
      <c r="H382" s="124"/>
      <c r="I382" s="21"/>
      <c r="J382" s="21"/>
      <c r="K382" s="21"/>
      <c r="L382" s="21"/>
      <c r="M382" s="21"/>
      <c r="N382" s="21"/>
      <c r="P382" s="22"/>
    </row>
    <row r="383" spans="1:9" ht="57.75" customHeight="1">
      <c r="A383" s="125" t="s">
        <v>110</v>
      </c>
      <c r="B383" s="127" t="s">
        <v>112</v>
      </c>
      <c r="C383" s="4" t="s">
        <v>77</v>
      </c>
      <c r="D383" s="12">
        <v>41973.922</v>
      </c>
      <c r="E383" s="55">
        <f t="shared" si="16"/>
        <v>1.560880038801244</v>
      </c>
      <c r="F383" s="12">
        <f>SUM(D383-249.768-46.62-7.44519-351.32938)</f>
        <v>41318.75943</v>
      </c>
      <c r="G383" s="12">
        <f>7.119+2.914</f>
        <v>10.033</v>
      </c>
      <c r="H383" s="123" t="s">
        <v>166</v>
      </c>
      <c r="I383" s="60"/>
    </row>
    <row r="384" spans="1:16" s="23" customFormat="1" ht="34.5" customHeight="1">
      <c r="A384" s="126"/>
      <c r="B384" s="128"/>
      <c r="C384" s="1" t="s">
        <v>257</v>
      </c>
      <c r="D384" s="12"/>
      <c r="E384" s="55"/>
      <c r="F384" s="12"/>
      <c r="G384" s="12">
        <v>7.119</v>
      </c>
      <c r="H384" s="124"/>
      <c r="I384" s="21"/>
      <c r="J384" s="21"/>
      <c r="K384" s="21"/>
      <c r="L384" s="21"/>
      <c r="M384" s="21"/>
      <c r="N384" s="21"/>
      <c r="P384" s="22"/>
    </row>
    <row r="385" spans="1:9" ht="40.5" customHeight="1">
      <c r="A385" s="125" t="s">
        <v>110</v>
      </c>
      <c r="B385" s="127" t="s">
        <v>112</v>
      </c>
      <c r="C385" s="4" t="s">
        <v>78</v>
      </c>
      <c r="D385" s="12">
        <v>1222.082</v>
      </c>
      <c r="E385" s="55">
        <f t="shared" si="16"/>
        <v>11.666511739801436</v>
      </c>
      <c r="F385" s="12">
        <f>D385-99.21296-43.36138</f>
        <v>1079.50766</v>
      </c>
      <c r="G385" s="12">
        <f>3.907+0.751</f>
        <v>4.658</v>
      </c>
      <c r="H385" s="123" t="s">
        <v>166</v>
      </c>
      <c r="I385" s="60"/>
    </row>
    <row r="386" spans="1:16" s="23" customFormat="1" ht="34.5" customHeight="1">
      <c r="A386" s="126"/>
      <c r="B386" s="128"/>
      <c r="C386" s="1" t="s">
        <v>257</v>
      </c>
      <c r="D386" s="12"/>
      <c r="E386" s="55"/>
      <c r="F386" s="12"/>
      <c r="G386" s="12">
        <v>3.907</v>
      </c>
      <c r="H386" s="124"/>
      <c r="I386" s="21"/>
      <c r="J386" s="21"/>
      <c r="K386" s="21"/>
      <c r="L386" s="21"/>
      <c r="M386" s="21"/>
      <c r="N386" s="21"/>
      <c r="P386" s="22"/>
    </row>
    <row r="387" spans="1:9" ht="37.5" customHeight="1">
      <c r="A387" s="131" t="s">
        <v>110</v>
      </c>
      <c r="B387" s="132" t="s">
        <v>112</v>
      </c>
      <c r="C387" s="1" t="s">
        <v>313</v>
      </c>
      <c r="D387" s="12">
        <f>137.164</f>
        <v>137.164</v>
      </c>
      <c r="E387" s="83">
        <f t="shared" si="16"/>
        <v>25.13895045347175</v>
      </c>
      <c r="F387" s="12">
        <f>SUM(D387-34.48159)</f>
        <v>102.68240999999999</v>
      </c>
      <c r="G387" s="12">
        <v>102.682</v>
      </c>
      <c r="H387" s="133" t="s">
        <v>166</v>
      </c>
      <c r="I387" s="60"/>
    </row>
    <row r="388" spans="1:16" s="23" customFormat="1" ht="37.5" customHeight="1">
      <c r="A388" s="131"/>
      <c r="B388" s="132"/>
      <c r="C388" s="1" t="s">
        <v>257</v>
      </c>
      <c r="D388" s="12"/>
      <c r="E388" s="55"/>
      <c r="F388" s="12"/>
      <c r="G388" s="12">
        <v>8.15</v>
      </c>
      <c r="H388" s="133"/>
      <c r="I388" s="21"/>
      <c r="J388" s="21"/>
      <c r="K388" s="21"/>
      <c r="L388" s="21"/>
      <c r="M388" s="21"/>
      <c r="N388" s="21"/>
      <c r="P388" s="22"/>
    </row>
    <row r="389" spans="1:9" ht="80.25" customHeight="1">
      <c r="A389" s="131" t="s">
        <v>114</v>
      </c>
      <c r="B389" s="108" t="s">
        <v>115</v>
      </c>
      <c r="C389" s="1" t="s">
        <v>113</v>
      </c>
      <c r="D389" s="12">
        <v>14110.057</v>
      </c>
      <c r="E389" s="55">
        <f t="shared" si="16"/>
        <v>21.969454978105347</v>
      </c>
      <c r="F389" s="12">
        <f>SUM(D389)-(56.35656+570.604+1000+338.9424+271.5277+862.47196)</f>
        <v>11010.15438</v>
      </c>
      <c r="G389" s="12">
        <f>11010.154</f>
        <v>11010.154</v>
      </c>
      <c r="H389" s="133" t="s">
        <v>166</v>
      </c>
      <c r="I389" s="60"/>
    </row>
    <row r="390" spans="1:16" s="23" customFormat="1" ht="34.5" customHeight="1">
      <c r="A390" s="131"/>
      <c r="B390" s="108"/>
      <c r="C390" s="1" t="s">
        <v>257</v>
      </c>
      <c r="D390" s="12"/>
      <c r="E390" s="55"/>
      <c r="F390" s="12"/>
      <c r="G390" s="12">
        <v>10.944</v>
      </c>
      <c r="H390" s="133"/>
      <c r="I390" s="21"/>
      <c r="J390" s="21"/>
      <c r="K390" s="21"/>
      <c r="L390" s="21"/>
      <c r="M390" s="21"/>
      <c r="N390" s="21"/>
      <c r="P390" s="22"/>
    </row>
    <row r="391" spans="1:9" ht="57.75" customHeight="1">
      <c r="A391" s="2" t="s">
        <v>110</v>
      </c>
      <c r="B391" s="1" t="s">
        <v>112</v>
      </c>
      <c r="C391" s="1" t="s">
        <v>125</v>
      </c>
      <c r="D391" s="12">
        <v>200</v>
      </c>
      <c r="E391" s="55">
        <f t="shared" si="16"/>
        <v>0</v>
      </c>
      <c r="F391" s="12">
        <v>200</v>
      </c>
      <c r="G391" s="12">
        <v>200</v>
      </c>
      <c r="H391" s="56" t="s">
        <v>166</v>
      </c>
      <c r="I391" s="60"/>
    </row>
    <row r="392" spans="1:9" ht="54" customHeight="1">
      <c r="A392" s="2" t="s">
        <v>110</v>
      </c>
      <c r="B392" s="1" t="s">
        <v>112</v>
      </c>
      <c r="C392" s="1" t="s">
        <v>138</v>
      </c>
      <c r="D392" s="12">
        <v>150</v>
      </c>
      <c r="E392" s="55">
        <f t="shared" si="16"/>
        <v>0</v>
      </c>
      <c r="F392" s="12">
        <v>150</v>
      </c>
      <c r="G392" s="12">
        <v>150</v>
      </c>
      <c r="H392" s="56" t="s">
        <v>166</v>
      </c>
      <c r="I392" s="60"/>
    </row>
    <row r="393" spans="1:9" ht="92.25" customHeight="1">
      <c r="A393" s="54">
        <v>92</v>
      </c>
      <c r="B393" s="1" t="s">
        <v>126</v>
      </c>
      <c r="C393" s="29"/>
      <c r="D393" s="12">
        <f>SUM(D394:D404)</f>
        <v>14901.403</v>
      </c>
      <c r="E393" s="55"/>
      <c r="F393" s="12">
        <f>SUM(F394:F404)</f>
        <v>13910.97076</v>
      </c>
      <c r="G393" s="12">
        <f>SUM(G394:G404)-G399-G401</f>
        <v>4813.2919999999995</v>
      </c>
      <c r="H393" s="56"/>
      <c r="I393" s="60"/>
    </row>
    <row r="394" spans="1:9" ht="38.25" customHeight="1">
      <c r="A394" s="2" t="s">
        <v>110</v>
      </c>
      <c r="B394" s="1" t="s">
        <v>112</v>
      </c>
      <c r="C394" s="1" t="s">
        <v>127</v>
      </c>
      <c r="D394" s="12">
        <v>10000</v>
      </c>
      <c r="E394" s="55">
        <f t="shared" si="16"/>
        <v>0</v>
      </c>
      <c r="F394" s="12">
        <v>10000</v>
      </c>
      <c r="G394" s="12">
        <v>3016.704</v>
      </c>
      <c r="H394" s="56" t="s">
        <v>166</v>
      </c>
      <c r="I394" s="60"/>
    </row>
    <row r="395" spans="1:9" ht="57.75" customHeight="1">
      <c r="A395" s="2" t="s">
        <v>110</v>
      </c>
      <c r="B395" s="1" t="s">
        <v>112</v>
      </c>
      <c r="C395" s="1" t="s">
        <v>291</v>
      </c>
      <c r="D395" s="82">
        <v>336.698</v>
      </c>
      <c r="E395" s="55">
        <f>100-(F395/D395)*100</f>
        <v>75.316123053894</v>
      </c>
      <c r="F395" s="12">
        <f>D395-253.58788</f>
        <v>83.11011999999997</v>
      </c>
      <c r="G395" s="12">
        <v>43.783</v>
      </c>
      <c r="H395" s="56" t="s">
        <v>166</v>
      </c>
      <c r="I395" s="60"/>
    </row>
    <row r="396" spans="1:9" ht="95.25" customHeight="1">
      <c r="A396" s="2" t="s">
        <v>110</v>
      </c>
      <c r="B396" s="1" t="s">
        <v>112</v>
      </c>
      <c r="C396" s="1" t="s">
        <v>292</v>
      </c>
      <c r="D396" s="82">
        <v>929.782</v>
      </c>
      <c r="E396" s="55">
        <f>100-(F396/D396)*100</f>
        <v>0.06635533920854186</v>
      </c>
      <c r="F396" s="12">
        <f>D396-0.61696</f>
        <v>929.1650400000001</v>
      </c>
      <c r="G396" s="12">
        <v>291.294</v>
      </c>
      <c r="H396" s="56" t="s">
        <v>166</v>
      </c>
      <c r="I396" s="60"/>
    </row>
    <row r="397" spans="1:9" ht="80.25" customHeight="1">
      <c r="A397" s="2" t="s">
        <v>110</v>
      </c>
      <c r="B397" s="1" t="s">
        <v>112</v>
      </c>
      <c r="C397" s="1" t="s">
        <v>130</v>
      </c>
      <c r="D397" s="12">
        <v>80</v>
      </c>
      <c r="E397" s="55">
        <f t="shared" si="16"/>
        <v>0</v>
      </c>
      <c r="F397" s="12">
        <v>80</v>
      </c>
      <c r="G397" s="12">
        <v>80</v>
      </c>
      <c r="H397" s="56" t="s">
        <v>166</v>
      </c>
      <c r="I397" s="60"/>
    </row>
    <row r="398" spans="1:9" ht="58.5" customHeight="1">
      <c r="A398" s="131" t="s">
        <v>110</v>
      </c>
      <c r="B398" s="132" t="s">
        <v>112</v>
      </c>
      <c r="C398" s="1" t="s">
        <v>106</v>
      </c>
      <c r="D398" s="82">
        <f>1000-124.05</f>
        <v>875.95</v>
      </c>
      <c r="E398" s="55">
        <f>100-(F398/D398)*100</f>
        <v>53.85677264684057</v>
      </c>
      <c r="F398" s="12">
        <f>SUM(D398-471.7584)</f>
        <v>404.19160000000005</v>
      </c>
      <c r="G398" s="12">
        <v>404.192</v>
      </c>
      <c r="H398" s="133" t="s">
        <v>166</v>
      </c>
      <c r="I398" s="60"/>
    </row>
    <row r="399" spans="1:9" ht="33.75" customHeight="1">
      <c r="A399" s="131"/>
      <c r="B399" s="132"/>
      <c r="C399" s="1" t="s">
        <v>257</v>
      </c>
      <c r="D399" s="82"/>
      <c r="E399" s="55"/>
      <c r="F399" s="12"/>
      <c r="G399" s="12">
        <v>43.256</v>
      </c>
      <c r="H399" s="133"/>
      <c r="I399" s="60"/>
    </row>
    <row r="400" spans="1:9" ht="62.25" customHeight="1">
      <c r="A400" s="131" t="s">
        <v>110</v>
      </c>
      <c r="B400" s="132" t="s">
        <v>112</v>
      </c>
      <c r="C400" s="1" t="s">
        <v>105</v>
      </c>
      <c r="D400" s="82">
        <f>1000-0.264</f>
        <v>999.736</v>
      </c>
      <c r="E400" s="55">
        <f>100-(F400/D400)*100</f>
        <v>26.38562780574071</v>
      </c>
      <c r="F400" s="12">
        <f>SUM(D400-263.78662)</f>
        <v>735.94938</v>
      </c>
      <c r="G400" s="12">
        <v>582.588</v>
      </c>
      <c r="H400" s="133" t="s">
        <v>166</v>
      </c>
      <c r="I400" s="60"/>
    </row>
    <row r="401" spans="1:9" ht="39.75" customHeight="1">
      <c r="A401" s="131"/>
      <c r="B401" s="132"/>
      <c r="C401" s="1" t="s">
        <v>257</v>
      </c>
      <c r="D401" s="82"/>
      <c r="E401" s="55"/>
      <c r="F401" s="12"/>
      <c r="G401" s="12">
        <v>444.096</v>
      </c>
      <c r="H401" s="133"/>
      <c r="I401" s="60"/>
    </row>
    <row r="402" spans="1:9" ht="75" customHeight="1">
      <c r="A402" s="2" t="s">
        <v>110</v>
      </c>
      <c r="B402" s="1" t="s">
        <v>112</v>
      </c>
      <c r="C402" s="1" t="s">
        <v>293</v>
      </c>
      <c r="D402" s="82">
        <v>609.237</v>
      </c>
      <c r="E402" s="55">
        <f>100-(F402/D402)*100</f>
        <v>0.11200567266924111</v>
      </c>
      <c r="F402" s="12">
        <f>D402-0.68238</f>
        <v>608.55462</v>
      </c>
      <c r="G402" s="12">
        <v>254.731</v>
      </c>
      <c r="H402" s="56" t="s">
        <v>166</v>
      </c>
      <c r="I402" s="60"/>
    </row>
    <row r="403" spans="1:9" ht="58.5" customHeight="1">
      <c r="A403" s="2" t="s">
        <v>110</v>
      </c>
      <c r="B403" s="1" t="s">
        <v>112</v>
      </c>
      <c r="C403" s="1" t="s">
        <v>131</v>
      </c>
      <c r="D403" s="12">
        <v>70</v>
      </c>
      <c r="E403" s="55">
        <f t="shared" si="16"/>
        <v>0</v>
      </c>
      <c r="F403" s="12">
        <v>70</v>
      </c>
      <c r="G403" s="12">
        <v>70</v>
      </c>
      <c r="H403" s="56" t="s">
        <v>166</v>
      </c>
      <c r="I403" s="60"/>
    </row>
    <row r="404" spans="1:9" ht="54.75" customHeight="1">
      <c r="A404" s="2" t="s">
        <v>110</v>
      </c>
      <c r="B404" s="1" t="s">
        <v>112</v>
      </c>
      <c r="C404" s="1" t="s">
        <v>132</v>
      </c>
      <c r="D404" s="12">
        <v>1000</v>
      </c>
      <c r="E404" s="55">
        <f t="shared" si="16"/>
        <v>0</v>
      </c>
      <c r="F404" s="12">
        <v>1000</v>
      </c>
      <c r="G404" s="12">
        <v>70</v>
      </c>
      <c r="H404" s="56" t="s">
        <v>166</v>
      </c>
      <c r="I404" s="60"/>
    </row>
    <row r="405" spans="1:8" ht="70.5" customHeight="1">
      <c r="A405" s="54">
        <v>93</v>
      </c>
      <c r="B405" s="1" t="s">
        <v>235</v>
      </c>
      <c r="C405" s="1"/>
      <c r="D405" s="12">
        <f>SUM(D406:D407)</f>
        <v>4329.606</v>
      </c>
      <c r="E405" s="12"/>
      <c r="F405" s="12">
        <f>SUM(F406:F407)</f>
        <v>4134.48064</v>
      </c>
      <c r="G405" s="12">
        <f>SUM(G406:G407)</f>
        <v>998.692</v>
      </c>
      <c r="H405" s="56"/>
    </row>
    <row r="406" spans="1:8" ht="56.25" customHeight="1">
      <c r="A406" s="2" t="s">
        <v>110</v>
      </c>
      <c r="B406" s="1" t="s">
        <v>112</v>
      </c>
      <c r="C406" s="1" t="s">
        <v>314</v>
      </c>
      <c r="D406" s="82">
        <v>3333.606</v>
      </c>
      <c r="E406" s="55">
        <f>100-(F406/D406)*100</f>
        <v>5.853282001532278</v>
      </c>
      <c r="F406" s="12">
        <f>D406-195.12536</f>
        <v>3138.48064</v>
      </c>
      <c r="G406" s="29">
        <v>2.692</v>
      </c>
      <c r="H406" s="56" t="s">
        <v>166</v>
      </c>
    </row>
    <row r="407" spans="1:8" ht="38.25" customHeight="1">
      <c r="A407" s="2" t="s">
        <v>110</v>
      </c>
      <c r="B407" s="1" t="s">
        <v>112</v>
      </c>
      <c r="C407" s="1" t="s">
        <v>455</v>
      </c>
      <c r="D407" s="82">
        <v>996</v>
      </c>
      <c r="E407" s="55">
        <f>100-(F407/D407)*100</f>
        <v>0</v>
      </c>
      <c r="F407" s="12">
        <f>D407</f>
        <v>996</v>
      </c>
      <c r="G407" s="31">
        <v>996</v>
      </c>
      <c r="H407" s="56" t="s">
        <v>166</v>
      </c>
    </row>
    <row r="408" spans="1:9" ht="76.5" customHeight="1">
      <c r="A408" s="2" t="s">
        <v>234</v>
      </c>
      <c r="B408" s="1" t="s">
        <v>142</v>
      </c>
      <c r="C408" s="29"/>
      <c r="D408" s="12">
        <f>SUM(D409)</f>
        <v>1145.573</v>
      </c>
      <c r="E408" s="55"/>
      <c r="F408" s="12">
        <f>SUM(F409)</f>
        <v>1145.573</v>
      </c>
      <c r="G408" s="12">
        <f>SUM(G409:G410)-G410</f>
        <v>1145.573</v>
      </c>
      <c r="H408" s="56"/>
      <c r="I408" s="60"/>
    </row>
    <row r="409" spans="1:9" ht="55.5" customHeight="1">
      <c r="A409" s="131" t="s">
        <v>110</v>
      </c>
      <c r="B409" s="132" t="s">
        <v>112</v>
      </c>
      <c r="C409" s="1" t="s">
        <v>143</v>
      </c>
      <c r="D409" s="12">
        <v>1145.573</v>
      </c>
      <c r="E409" s="55">
        <f>100-(F409/D409)*100</f>
        <v>0</v>
      </c>
      <c r="F409" s="12">
        <f>SUM(D409)</f>
        <v>1145.573</v>
      </c>
      <c r="G409" s="12">
        <v>1145.573</v>
      </c>
      <c r="H409" s="133" t="s">
        <v>166</v>
      </c>
      <c r="I409" s="60"/>
    </row>
    <row r="410" spans="1:16" s="23" customFormat="1" ht="36" customHeight="1" thickBot="1">
      <c r="A410" s="110"/>
      <c r="B410" s="109"/>
      <c r="C410" s="84" t="s">
        <v>257</v>
      </c>
      <c r="D410" s="32"/>
      <c r="E410" s="85"/>
      <c r="F410" s="32"/>
      <c r="G410" s="32">
        <v>21.734</v>
      </c>
      <c r="H410" s="107"/>
      <c r="I410" s="21"/>
      <c r="J410" s="21"/>
      <c r="K410" s="21"/>
      <c r="L410" s="21"/>
      <c r="M410" s="21"/>
      <c r="N410" s="21"/>
      <c r="P410" s="22"/>
    </row>
  </sheetData>
  <sheetProtection/>
  <mergeCells count="205">
    <mergeCell ref="A262:A263"/>
    <mergeCell ref="B262:B263"/>
    <mergeCell ref="B255:B256"/>
    <mergeCell ref="A255:A256"/>
    <mergeCell ref="H409:H410"/>
    <mergeCell ref="A345:A346"/>
    <mergeCell ref="B389:B390"/>
    <mergeCell ref="A373:A376"/>
    <mergeCell ref="A367:A370"/>
    <mergeCell ref="B409:B410"/>
    <mergeCell ref="A409:A410"/>
    <mergeCell ref="A389:A390"/>
    <mergeCell ref="A383:A384"/>
    <mergeCell ref="B373:B376"/>
    <mergeCell ref="A333:A334"/>
    <mergeCell ref="B387:B388"/>
    <mergeCell ref="A387:A388"/>
    <mergeCell ref="H387:H388"/>
    <mergeCell ref="B343:B344"/>
    <mergeCell ref="H341:H342"/>
    <mergeCell ref="H333:H334"/>
    <mergeCell ref="B333:B334"/>
    <mergeCell ref="B383:B384"/>
    <mergeCell ref="B367:B370"/>
    <mergeCell ref="A330:A331"/>
    <mergeCell ref="H330:H331"/>
    <mergeCell ref="A265:A266"/>
    <mergeCell ref="B296:B297"/>
    <mergeCell ref="A296:A297"/>
    <mergeCell ref="B277:B278"/>
    <mergeCell ref="B330:B331"/>
    <mergeCell ref="A326:A327"/>
    <mergeCell ref="H326:H327"/>
    <mergeCell ref="A277:A278"/>
    <mergeCell ref="A90:A91"/>
    <mergeCell ref="B265:B266"/>
    <mergeCell ref="A316:A317"/>
    <mergeCell ref="B316:B317"/>
    <mergeCell ref="B90:B91"/>
    <mergeCell ref="B119:B120"/>
    <mergeCell ref="A119:A120"/>
    <mergeCell ref="B237:B238"/>
    <mergeCell ref="A237:A238"/>
    <mergeCell ref="B251:B252"/>
    <mergeCell ref="A28:A29"/>
    <mergeCell ref="A50:A51"/>
    <mergeCell ref="B50:B51"/>
    <mergeCell ref="H50:H51"/>
    <mergeCell ref="H36:H37"/>
    <mergeCell ref="B326:B327"/>
    <mergeCell ref="H119:H120"/>
    <mergeCell ref="B191:B192"/>
    <mergeCell ref="A191:A192"/>
    <mergeCell ref="H191:H192"/>
    <mergeCell ref="B285:B286"/>
    <mergeCell ref="H316:H317"/>
    <mergeCell ref="H255:H256"/>
    <mergeCell ref="H262:H263"/>
    <mergeCell ref="H265:H266"/>
    <mergeCell ref="H41:H42"/>
    <mergeCell ref="H28:H29"/>
    <mergeCell ref="H38:H39"/>
    <mergeCell ref="B41:B42"/>
    <mergeCell ref="A21:A22"/>
    <mergeCell ref="B33:B34"/>
    <mergeCell ref="A33:A34"/>
    <mergeCell ref="H33:H34"/>
    <mergeCell ref="A23:A24"/>
    <mergeCell ref="H30:H31"/>
    <mergeCell ref="B30:B31"/>
    <mergeCell ref="A30:A31"/>
    <mergeCell ref="B28:B29"/>
    <mergeCell ref="B23:B24"/>
    <mergeCell ref="A7:H7"/>
    <mergeCell ref="A9:H9"/>
    <mergeCell ref="G8:H8"/>
    <mergeCell ref="F4:H4"/>
    <mergeCell ref="F1:H1"/>
    <mergeCell ref="F2:H2"/>
    <mergeCell ref="F3:H3"/>
    <mergeCell ref="F5:H6"/>
    <mergeCell ref="H23:H24"/>
    <mergeCell ref="B36:B37"/>
    <mergeCell ref="B10:C10"/>
    <mergeCell ref="C11:C12"/>
    <mergeCell ref="D11:D12"/>
    <mergeCell ref="E11:E12"/>
    <mergeCell ref="F11:F12"/>
    <mergeCell ref="G11:G12"/>
    <mergeCell ref="B17:B18"/>
    <mergeCell ref="B52:B53"/>
    <mergeCell ref="A52:A53"/>
    <mergeCell ref="H11:H12"/>
    <mergeCell ref="H47:H48"/>
    <mergeCell ref="H44:H45"/>
    <mergeCell ref="B44:B45"/>
    <mergeCell ref="A44:A45"/>
    <mergeCell ref="A17:A18"/>
    <mergeCell ref="B21:B22"/>
    <mergeCell ref="H21:H22"/>
    <mergeCell ref="A36:A37"/>
    <mergeCell ref="B47:B48"/>
    <mergeCell ref="A47:A48"/>
    <mergeCell ref="A38:A39"/>
    <mergeCell ref="A41:A42"/>
    <mergeCell ref="B38:B39"/>
    <mergeCell ref="B57:B58"/>
    <mergeCell ref="H73:H74"/>
    <mergeCell ref="B73:B74"/>
    <mergeCell ref="A73:A74"/>
    <mergeCell ref="H57:H58"/>
    <mergeCell ref="B61:B62"/>
    <mergeCell ref="A57:A58"/>
    <mergeCell ref="B75:B76"/>
    <mergeCell ref="A75:A76"/>
    <mergeCell ref="H75:H76"/>
    <mergeCell ref="H61:H62"/>
    <mergeCell ref="A61:A62"/>
    <mergeCell ref="B92:B93"/>
    <mergeCell ref="H92:H93"/>
    <mergeCell ref="B80:B81"/>
    <mergeCell ref="A80:A81"/>
    <mergeCell ref="B86:B87"/>
    <mergeCell ref="H84:H85"/>
    <mergeCell ref="H80:H81"/>
    <mergeCell ref="A82:A83"/>
    <mergeCell ref="A92:A93"/>
    <mergeCell ref="H90:H91"/>
    <mergeCell ref="H86:H87"/>
    <mergeCell ref="H77:H78"/>
    <mergeCell ref="A86:A87"/>
    <mergeCell ref="B82:B83"/>
    <mergeCell ref="H82:H83"/>
    <mergeCell ref="B77:B78"/>
    <mergeCell ref="A77:A78"/>
    <mergeCell ref="A84:A85"/>
    <mergeCell ref="B84:B85"/>
    <mergeCell ref="A100:A101"/>
    <mergeCell ref="A94:A95"/>
    <mergeCell ref="B111:B112"/>
    <mergeCell ref="A111:A112"/>
    <mergeCell ref="B96:B97"/>
    <mergeCell ref="A96:A97"/>
    <mergeCell ref="A109:A110"/>
    <mergeCell ref="B94:B95"/>
    <mergeCell ref="B98:B99"/>
    <mergeCell ref="A98:A99"/>
    <mergeCell ref="B102:B103"/>
    <mergeCell ref="H311:H312"/>
    <mergeCell ref="H94:H95"/>
    <mergeCell ref="H96:H97"/>
    <mergeCell ref="H104:H105"/>
    <mergeCell ref="B270:B271"/>
    <mergeCell ref="H296:H297"/>
    <mergeCell ref="H285:H286"/>
    <mergeCell ref="H277:H278"/>
    <mergeCell ref="H270:H271"/>
    <mergeCell ref="A343:A344"/>
    <mergeCell ref="B341:B342"/>
    <mergeCell ref="H335:H336"/>
    <mergeCell ref="B335:B336"/>
    <mergeCell ref="A341:A342"/>
    <mergeCell ref="H343:H344"/>
    <mergeCell ref="A335:A336"/>
    <mergeCell ref="H102:H103"/>
    <mergeCell ref="H100:H101"/>
    <mergeCell ref="H98:H99"/>
    <mergeCell ref="A102:A103"/>
    <mergeCell ref="B100:B101"/>
    <mergeCell ref="B311:B312"/>
    <mergeCell ref="H111:H112"/>
    <mergeCell ref="H251:H252"/>
    <mergeCell ref="H253:H254"/>
    <mergeCell ref="A104:A105"/>
    <mergeCell ref="H109:H110"/>
    <mergeCell ref="B109:B110"/>
    <mergeCell ref="A311:A312"/>
    <mergeCell ref="H237:H238"/>
    <mergeCell ref="B253:B254"/>
    <mergeCell ref="A251:A252"/>
    <mergeCell ref="A270:A271"/>
    <mergeCell ref="A253:A254"/>
    <mergeCell ref="A285:A286"/>
    <mergeCell ref="H389:H390"/>
    <mergeCell ref="B385:B386"/>
    <mergeCell ref="A385:A386"/>
    <mergeCell ref="H345:H346"/>
    <mergeCell ref="B345:B346"/>
    <mergeCell ref="H383:H384"/>
    <mergeCell ref="A400:A401"/>
    <mergeCell ref="B400:B401"/>
    <mergeCell ref="H400:H401"/>
    <mergeCell ref="B398:B399"/>
    <mergeCell ref="A398:A399"/>
    <mergeCell ref="H398:H399"/>
    <mergeCell ref="H385:H386"/>
    <mergeCell ref="A25:A26"/>
    <mergeCell ref="B25:B26"/>
    <mergeCell ref="H25:H26"/>
    <mergeCell ref="B361:B366"/>
    <mergeCell ref="A361:A366"/>
    <mergeCell ref="B381:B382"/>
    <mergeCell ref="A381:A382"/>
    <mergeCell ref="H381:H382"/>
    <mergeCell ref="B104:B105"/>
  </mergeCells>
  <printOptions horizontalCentered="1"/>
  <pageMargins left="0.2362204724409449" right="0.2362204724409449" top="0.7480314960629921" bottom="0.1968503937007874" header="0.31496062992125984" footer="0.31496062992125984"/>
  <pageSetup firstPageNumber="1" useFirstPageNumber="1" fitToHeight="25" horizontalDpi="600" verticalDpi="600" orientation="landscape" paperSize="9" scale="83"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sheetPr>
    <tabColor rgb="FFFF0000"/>
  </sheetPr>
  <dimension ref="A1:O94"/>
  <sheetViews>
    <sheetView tabSelected="1" view="pageBreakPreview" zoomScale="75" zoomScaleSheetLayoutView="75" zoomScalePageLayoutView="0" workbookViewId="0" topLeftCell="A1">
      <selection activeCell="L6" sqref="L6"/>
    </sheetView>
  </sheetViews>
  <sheetFormatPr defaultColWidth="9.140625" defaultRowHeight="15"/>
  <cols>
    <col min="1" max="1" width="19.140625" style="95" customWidth="1"/>
    <col min="2" max="2" width="47.8515625" style="95" customWidth="1"/>
    <col min="3" max="3" width="24.8515625" style="103" customWidth="1"/>
    <col min="4" max="4" width="18.7109375" style="103" customWidth="1"/>
    <col min="5" max="5" width="29.8515625" style="93" customWidth="1"/>
    <col min="6" max="6" width="36.7109375" style="93" customWidth="1"/>
    <col min="7" max="8" width="9.140625" style="93" customWidth="1"/>
    <col min="9" max="16384" width="9.140625" style="95" customWidth="1"/>
  </cols>
  <sheetData>
    <row r="1" spans="1:5" s="21" customFormat="1" ht="22.5" customHeight="1">
      <c r="A1" s="87"/>
      <c r="B1" s="87"/>
      <c r="C1" s="87"/>
      <c r="D1" s="87" t="s">
        <v>167</v>
      </c>
      <c r="E1" s="88"/>
    </row>
    <row r="2" spans="1:4" s="21" customFormat="1" ht="40.5" customHeight="1">
      <c r="A2" s="146" t="s">
        <v>211</v>
      </c>
      <c r="B2" s="146"/>
      <c r="C2" s="146"/>
      <c r="D2" s="146"/>
    </row>
    <row r="3" spans="1:4" s="21" customFormat="1" ht="22.5" customHeight="1" thickBot="1">
      <c r="A3" s="87"/>
      <c r="B3" s="87"/>
      <c r="C3" s="89"/>
      <c r="D3" s="87" t="s">
        <v>150</v>
      </c>
    </row>
    <row r="4" spans="1:4" s="21" customFormat="1" ht="46.5" customHeight="1">
      <c r="A4" s="90" t="s">
        <v>151</v>
      </c>
      <c r="B4" s="46" t="s">
        <v>109</v>
      </c>
      <c r="C4" s="138" t="s">
        <v>152</v>
      </c>
      <c r="D4" s="135" t="s">
        <v>159</v>
      </c>
    </row>
    <row r="5" spans="1:4" s="21" customFormat="1" ht="65.25" customHeight="1" thickBot="1">
      <c r="A5" s="91" t="s">
        <v>156</v>
      </c>
      <c r="B5" s="16" t="s">
        <v>157</v>
      </c>
      <c r="C5" s="127"/>
      <c r="D5" s="123"/>
    </row>
    <row r="6" spans="1:4" s="21" customFormat="1" ht="18" customHeight="1" thickBot="1">
      <c r="A6" s="48">
        <v>1</v>
      </c>
      <c r="B6" s="25">
        <v>2</v>
      </c>
      <c r="C6" s="25">
        <v>3</v>
      </c>
      <c r="D6" s="50">
        <v>4</v>
      </c>
    </row>
    <row r="7" spans="1:6" s="21" customFormat="1" ht="24" customHeight="1">
      <c r="A7" s="51"/>
      <c r="B7" s="17" t="s">
        <v>158</v>
      </c>
      <c r="C7" s="52"/>
      <c r="D7" s="53">
        <f>SUM(D8+D12+D20+D28+D38+D48+D50+D53+D62+D65+D69+D72+D79+D84+D89+D82+D75+D77+D67)</f>
        <v>118375.79700000002</v>
      </c>
      <c r="E7" s="20"/>
      <c r="F7" s="20"/>
    </row>
    <row r="8" spans="1:4" s="21" customFormat="1" ht="28.5" customHeight="1">
      <c r="A8" s="2" t="s">
        <v>168</v>
      </c>
      <c r="B8" s="1" t="s">
        <v>249</v>
      </c>
      <c r="C8" s="1"/>
      <c r="D8" s="3">
        <f>SUM(D9:D11)-D10</f>
        <v>781.919</v>
      </c>
    </row>
    <row r="9" spans="1:4" s="21" customFormat="1" ht="28.5" customHeight="1">
      <c r="A9" s="125" t="s">
        <v>170</v>
      </c>
      <c r="B9" s="1" t="s">
        <v>171</v>
      </c>
      <c r="C9" s="127" t="s">
        <v>172</v>
      </c>
      <c r="D9" s="3">
        <v>723.119</v>
      </c>
    </row>
    <row r="10" spans="1:14" ht="38.25" customHeight="1">
      <c r="A10" s="126"/>
      <c r="B10" s="4" t="s">
        <v>257</v>
      </c>
      <c r="C10" s="128"/>
      <c r="D10" s="5">
        <v>231.245</v>
      </c>
      <c r="E10" s="92"/>
      <c r="G10" s="20"/>
      <c r="H10" s="20"/>
      <c r="I10" s="20"/>
      <c r="J10" s="20"/>
      <c r="K10" s="20"/>
      <c r="L10" s="20"/>
      <c r="M10" s="21"/>
      <c r="N10" s="94"/>
    </row>
    <row r="11" spans="1:4" s="21" customFormat="1" ht="35.25" customHeight="1">
      <c r="A11" s="2" t="s">
        <v>317</v>
      </c>
      <c r="B11" s="1" t="s">
        <v>318</v>
      </c>
      <c r="C11" s="1" t="s">
        <v>172</v>
      </c>
      <c r="D11" s="3">
        <v>58.8</v>
      </c>
    </row>
    <row r="12" spans="1:14" ht="39.75" customHeight="1">
      <c r="A12" s="96">
        <v>10</v>
      </c>
      <c r="B12" s="15" t="s">
        <v>122</v>
      </c>
      <c r="C12" s="15"/>
      <c r="D12" s="5">
        <f>SUM(D13:D19)-D14-D16</f>
        <v>7527.513</v>
      </c>
      <c r="E12" s="92"/>
      <c r="G12" s="20"/>
      <c r="H12" s="20"/>
      <c r="I12" s="20"/>
      <c r="J12" s="20"/>
      <c r="K12" s="20"/>
      <c r="L12" s="20"/>
      <c r="M12" s="21"/>
      <c r="N12" s="94"/>
    </row>
    <row r="13" spans="1:14" ht="24" customHeight="1">
      <c r="A13" s="116" t="s">
        <v>174</v>
      </c>
      <c r="B13" s="4" t="s">
        <v>175</v>
      </c>
      <c r="C13" s="147" t="s">
        <v>172</v>
      </c>
      <c r="D13" s="5">
        <v>2186.791</v>
      </c>
      <c r="E13" s="92"/>
      <c r="G13" s="20"/>
      <c r="H13" s="20"/>
      <c r="I13" s="20"/>
      <c r="J13" s="20"/>
      <c r="K13" s="20"/>
      <c r="L13" s="20"/>
      <c r="M13" s="21"/>
      <c r="N13" s="94"/>
    </row>
    <row r="14" spans="1:14" ht="38.25" customHeight="1">
      <c r="A14" s="116"/>
      <c r="B14" s="4" t="s">
        <v>257</v>
      </c>
      <c r="C14" s="147"/>
      <c r="D14" s="5">
        <v>170.836</v>
      </c>
      <c r="E14" s="92"/>
      <c r="G14" s="20"/>
      <c r="H14" s="20"/>
      <c r="I14" s="20"/>
      <c r="J14" s="20"/>
      <c r="K14" s="20"/>
      <c r="L14" s="20"/>
      <c r="M14" s="21"/>
      <c r="N14" s="94"/>
    </row>
    <row r="15" spans="1:14" ht="76.5" customHeight="1">
      <c r="A15" s="116" t="s">
        <v>176</v>
      </c>
      <c r="B15" s="1" t="s">
        <v>177</v>
      </c>
      <c r="C15" s="147" t="s">
        <v>172</v>
      </c>
      <c r="D15" s="5">
        <v>5046.653</v>
      </c>
      <c r="E15" s="92"/>
      <c r="G15" s="20"/>
      <c r="H15" s="20"/>
      <c r="I15" s="20"/>
      <c r="J15" s="20"/>
      <c r="K15" s="20"/>
      <c r="L15" s="20"/>
      <c r="M15" s="21"/>
      <c r="N15" s="94"/>
    </row>
    <row r="16" spans="1:14" ht="38.25" customHeight="1">
      <c r="A16" s="116"/>
      <c r="B16" s="4" t="s">
        <v>257</v>
      </c>
      <c r="C16" s="147"/>
      <c r="D16" s="5">
        <v>596.572</v>
      </c>
      <c r="E16" s="92"/>
      <c r="G16" s="20"/>
      <c r="H16" s="20"/>
      <c r="I16" s="20"/>
      <c r="J16" s="20"/>
      <c r="K16" s="20"/>
      <c r="L16" s="20"/>
      <c r="M16" s="21"/>
      <c r="N16" s="94"/>
    </row>
    <row r="17" spans="1:14" ht="38.25" customHeight="1">
      <c r="A17" s="6" t="s">
        <v>331</v>
      </c>
      <c r="B17" s="15" t="s">
        <v>332</v>
      </c>
      <c r="C17" s="13" t="s">
        <v>172</v>
      </c>
      <c r="D17" s="5">
        <v>18</v>
      </c>
      <c r="E17" s="92"/>
      <c r="G17" s="20"/>
      <c r="H17" s="20"/>
      <c r="I17" s="20"/>
      <c r="J17" s="20"/>
      <c r="K17" s="20"/>
      <c r="L17" s="20"/>
      <c r="M17" s="21"/>
      <c r="N17" s="94"/>
    </row>
    <row r="18" spans="1:15" ht="42.75" customHeight="1">
      <c r="A18" s="14" t="s">
        <v>178</v>
      </c>
      <c r="B18" s="1" t="s">
        <v>179</v>
      </c>
      <c r="C18" s="13" t="s">
        <v>172</v>
      </c>
      <c r="D18" s="5">
        <v>231.569</v>
      </c>
      <c r="E18" s="92"/>
      <c r="G18" s="20"/>
      <c r="H18" s="20"/>
      <c r="I18" s="20"/>
      <c r="J18" s="20"/>
      <c r="K18" s="20"/>
      <c r="L18" s="20"/>
      <c r="M18" s="21"/>
      <c r="N18" s="94"/>
      <c r="O18" s="21"/>
    </row>
    <row r="19" spans="1:14" ht="54" customHeight="1">
      <c r="A19" s="6" t="s">
        <v>333</v>
      </c>
      <c r="B19" s="15" t="s">
        <v>334</v>
      </c>
      <c r="C19" s="13" t="s">
        <v>172</v>
      </c>
      <c r="D19" s="5">
        <v>44.5</v>
      </c>
      <c r="E19" s="92"/>
      <c r="G19" s="20"/>
      <c r="H19" s="20"/>
      <c r="I19" s="20"/>
      <c r="J19" s="20"/>
      <c r="K19" s="20"/>
      <c r="L19" s="20"/>
      <c r="M19" s="21"/>
      <c r="N19" s="94"/>
    </row>
    <row r="20" spans="1:15" ht="42.75" customHeight="1">
      <c r="A20" s="96">
        <v>14</v>
      </c>
      <c r="B20" s="15" t="s">
        <v>182</v>
      </c>
      <c r="C20" s="13"/>
      <c r="D20" s="5">
        <f>SUM(D21:D27)-D22-D24-D26</f>
        <v>11289.207</v>
      </c>
      <c r="E20" s="92"/>
      <c r="G20" s="20"/>
      <c r="H20" s="20"/>
      <c r="I20" s="20"/>
      <c r="J20" s="20"/>
      <c r="K20" s="20"/>
      <c r="L20" s="20"/>
      <c r="M20" s="21"/>
      <c r="N20" s="94"/>
      <c r="O20" s="21"/>
    </row>
    <row r="21" spans="1:15" ht="26.25" customHeight="1">
      <c r="A21" s="116" t="s">
        <v>183</v>
      </c>
      <c r="B21" s="4" t="s">
        <v>184</v>
      </c>
      <c r="C21" s="147" t="s">
        <v>172</v>
      </c>
      <c r="D21" s="5">
        <v>8268.651</v>
      </c>
      <c r="E21" s="92"/>
      <c r="G21" s="20"/>
      <c r="H21" s="20"/>
      <c r="I21" s="20"/>
      <c r="J21" s="20"/>
      <c r="K21" s="20"/>
      <c r="L21" s="20"/>
      <c r="M21" s="21"/>
      <c r="N21" s="94"/>
      <c r="O21" s="21"/>
    </row>
    <row r="22" spans="1:14" ht="38.25" customHeight="1">
      <c r="A22" s="116"/>
      <c r="B22" s="4" t="s">
        <v>257</v>
      </c>
      <c r="C22" s="147"/>
      <c r="D22" s="5">
        <v>3320.311</v>
      </c>
      <c r="E22" s="92"/>
      <c r="G22" s="20"/>
      <c r="H22" s="20"/>
      <c r="I22" s="20"/>
      <c r="J22" s="20"/>
      <c r="K22" s="20"/>
      <c r="L22" s="20"/>
      <c r="M22" s="21"/>
      <c r="N22" s="94"/>
    </row>
    <row r="23" spans="1:15" ht="22.5" customHeight="1">
      <c r="A23" s="116" t="s">
        <v>185</v>
      </c>
      <c r="B23" s="1" t="s">
        <v>186</v>
      </c>
      <c r="C23" s="111" t="s">
        <v>172</v>
      </c>
      <c r="D23" s="5">
        <v>807.52</v>
      </c>
      <c r="E23" s="92"/>
      <c r="G23" s="20"/>
      <c r="H23" s="20"/>
      <c r="I23" s="20"/>
      <c r="J23" s="20"/>
      <c r="K23" s="20"/>
      <c r="L23" s="20"/>
      <c r="M23" s="21"/>
      <c r="N23" s="94"/>
      <c r="O23" s="21"/>
    </row>
    <row r="24" spans="1:14" ht="38.25" customHeight="1">
      <c r="A24" s="116"/>
      <c r="B24" s="4" t="s">
        <v>257</v>
      </c>
      <c r="C24" s="111"/>
      <c r="D24" s="5">
        <v>11.4</v>
      </c>
      <c r="E24" s="92"/>
      <c r="G24" s="20"/>
      <c r="H24" s="20"/>
      <c r="I24" s="20"/>
      <c r="J24" s="20"/>
      <c r="K24" s="20"/>
      <c r="L24" s="20"/>
      <c r="M24" s="21"/>
      <c r="N24" s="94"/>
    </row>
    <row r="25" spans="1:15" ht="76.5" customHeight="1">
      <c r="A25" s="116" t="s">
        <v>187</v>
      </c>
      <c r="B25" s="1" t="s">
        <v>188</v>
      </c>
      <c r="C25" s="7" t="s">
        <v>172</v>
      </c>
      <c r="D25" s="5">
        <v>2208.036</v>
      </c>
      <c r="E25" s="92"/>
      <c r="G25" s="20"/>
      <c r="H25" s="20"/>
      <c r="I25" s="20"/>
      <c r="J25" s="20"/>
      <c r="K25" s="20"/>
      <c r="L25" s="20"/>
      <c r="M25" s="21"/>
      <c r="N25" s="94"/>
      <c r="O25" s="21"/>
    </row>
    <row r="26" spans="1:14" ht="37.5" customHeight="1">
      <c r="A26" s="116"/>
      <c r="B26" s="4" t="s">
        <v>257</v>
      </c>
      <c r="C26" s="8"/>
      <c r="D26" s="5">
        <v>56.19</v>
      </c>
      <c r="E26" s="92"/>
      <c r="G26" s="20"/>
      <c r="H26" s="20"/>
      <c r="I26" s="20"/>
      <c r="J26" s="20"/>
      <c r="K26" s="20"/>
      <c r="L26" s="20"/>
      <c r="M26" s="21"/>
      <c r="N26" s="94"/>
    </row>
    <row r="27" spans="1:14" ht="37.5" customHeight="1">
      <c r="A27" s="14" t="s">
        <v>319</v>
      </c>
      <c r="B27" s="4" t="s">
        <v>320</v>
      </c>
      <c r="C27" s="15" t="s">
        <v>172</v>
      </c>
      <c r="D27" s="5">
        <v>5</v>
      </c>
      <c r="E27" s="92"/>
      <c r="G27" s="20"/>
      <c r="H27" s="20"/>
      <c r="I27" s="20"/>
      <c r="J27" s="20"/>
      <c r="K27" s="20"/>
      <c r="L27" s="20"/>
      <c r="M27" s="21"/>
      <c r="N27" s="94"/>
    </row>
    <row r="28" spans="1:15" ht="39.75" customHeight="1">
      <c r="A28" s="96">
        <v>15</v>
      </c>
      <c r="B28" s="15" t="s">
        <v>124</v>
      </c>
      <c r="C28" s="15"/>
      <c r="D28" s="5">
        <f>SUM(D29+D31+D33+D36+D35)</f>
        <v>2645.657</v>
      </c>
      <c r="E28" s="92"/>
      <c r="G28" s="20"/>
      <c r="H28" s="20"/>
      <c r="I28" s="20"/>
      <c r="J28" s="20"/>
      <c r="K28" s="20"/>
      <c r="L28" s="20"/>
      <c r="M28" s="21"/>
      <c r="N28" s="94"/>
      <c r="O28" s="21"/>
    </row>
    <row r="29" spans="1:15" ht="225" customHeight="1">
      <c r="A29" s="14" t="s">
        <v>189</v>
      </c>
      <c r="B29" s="9" t="s">
        <v>237</v>
      </c>
      <c r="C29" s="15" t="s">
        <v>172</v>
      </c>
      <c r="D29" s="5">
        <v>156</v>
      </c>
      <c r="E29" s="92"/>
      <c r="G29" s="20"/>
      <c r="H29" s="20"/>
      <c r="I29" s="20"/>
      <c r="J29" s="20"/>
      <c r="K29" s="20"/>
      <c r="L29" s="20"/>
      <c r="M29" s="21"/>
      <c r="N29" s="94"/>
      <c r="O29" s="21"/>
    </row>
    <row r="30" spans="1:15" ht="272.25" customHeight="1">
      <c r="A30" s="14"/>
      <c r="B30" s="10" t="s">
        <v>190</v>
      </c>
      <c r="C30" s="15"/>
      <c r="D30" s="5">
        <v>156</v>
      </c>
      <c r="E30" s="92"/>
      <c r="G30" s="20"/>
      <c r="H30" s="20"/>
      <c r="I30" s="20"/>
      <c r="J30" s="20"/>
      <c r="K30" s="20"/>
      <c r="L30" s="20"/>
      <c r="M30" s="21"/>
      <c r="N30" s="94"/>
      <c r="O30" s="21"/>
    </row>
    <row r="31" spans="1:14" ht="24.75" customHeight="1">
      <c r="A31" s="116" t="s">
        <v>170</v>
      </c>
      <c r="B31" s="4" t="s">
        <v>171</v>
      </c>
      <c r="C31" s="111" t="s">
        <v>172</v>
      </c>
      <c r="D31" s="5">
        <v>1285.484</v>
      </c>
      <c r="E31" s="92"/>
      <c r="G31" s="20"/>
      <c r="H31" s="20"/>
      <c r="I31" s="20"/>
      <c r="J31" s="20"/>
      <c r="K31" s="20"/>
      <c r="L31" s="20"/>
      <c r="M31" s="21"/>
      <c r="N31" s="94"/>
    </row>
    <row r="32" spans="1:14" ht="38.25" customHeight="1">
      <c r="A32" s="116"/>
      <c r="B32" s="4" t="s">
        <v>257</v>
      </c>
      <c r="C32" s="111"/>
      <c r="D32" s="5">
        <v>77</v>
      </c>
      <c r="E32" s="92"/>
      <c r="G32" s="20"/>
      <c r="H32" s="20"/>
      <c r="I32" s="20"/>
      <c r="J32" s="20"/>
      <c r="K32" s="20"/>
      <c r="L32" s="20"/>
      <c r="M32" s="21"/>
      <c r="N32" s="94"/>
    </row>
    <row r="33" spans="1:15" ht="60" customHeight="1">
      <c r="A33" s="116" t="s">
        <v>230</v>
      </c>
      <c r="B33" s="11" t="s">
        <v>231</v>
      </c>
      <c r="C33" s="111" t="s">
        <v>172</v>
      </c>
      <c r="D33" s="5">
        <v>965.123</v>
      </c>
      <c r="E33" s="92"/>
      <c r="G33" s="20"/>
      <c r="H33" s="20"/>
      <c r="I33" s="20"/>
      <c r="J33" s="20"/>
      <c r="K33" s="20"/>
      <c r="L33" s="20"/>
      <c r="M33" s="21"/>
      <c r="N33" s="94"/>
      <c r="O33" s="21"/>
    </row>
    <row r="34" spans="1:14" ht="38.25" customHeight="1">
      <c r="A34" s="116"/>
      <c r="B34" s="4" t="s">
        <v>257</v>
      </c>
      <c r="C34" s="111"/>
      <c r="D34" s="5">
        <v>249.139</v>
      </c>
      <c r="E34" s="92"/>
      <c r="G34" s="20"/>
      <c r="H34" s="20"/>
      <c r="I34" s="20"/>
      <c r="J34" s="20"/>
      <c r="K34" s="20"/>
      <c r="L34" s="20"/>
      <c r="M34" s="21"/>
      <c r="N34" s="94"/>
    </row>
    <row r="35" spans="1:14" ht="38.25" customHeight="1">
      <c r="A35" s="14" t="s">
        <v>5</v>
      </c>
      <c r="B35" s="4" t="s">
        <v>6</v>
      </c>
      <c r="C35" s="15" t="s">
        <v>172</v>
      </c>
      <c r="D35" s="5">
        <v>42.5</v>
      </c>
      <c r="E35" s="92"/>
      <c r="G35" s="20"/>
      <c r="H35" s="20"/>
      <c r="I35" s="20"/>
      <c r="J35" s="20"/>
      <c r="K35" s="20"/>
      <c r="L35" s="20"/>
      <c r="M35" s="21"/>
      <c r="N35" s="94"/>
    </row>
    <row r="36" spans="1:14" ht="38.25" customHeight="1">
      <c r="A36" s="114" t="s">
        <v>180</v>
      </c>
      <c r="B36" s="1" t="s">
        <v>181</v>
      </c>
      <c r="C36" s="112" t="s">
        <v>172</v>
      </c>
      <c r="D36" s="5">
        <f>99.96+96.59</f>
        <v>196.55</v>
      </c>
      <c r="E36" s="92"/>
      <c r="G36" s="20"/>
      <c r="H36" s="20"/>
      <c r="I36" s="20"/>
      <c r="J36" s="20"/>
      <c r="K36" s="20"/>
      <c r="L36" s="20"/>
      <c r="M36" s="21"/>
      <c r="N36" s="94"/>
    </row>
    <row r="37" spans="1:14" ht="38.25" customHeight="1">
      <c r="A37" s="115"/>
      <c r="B37" s="1" t="s">
        <v>257</v>
      </c>
      <c r="C37" s="113"/>
      <c r="D37" s="5">
        <v>96.59</v>
      </c>
      <c r="E37" s="92"/>
      <c r="G37" s="20"/>
      <c r="H37" s="20"/>
      <c r="I37" s="20"/>
      <c r="J37" s="20"/>
      <c r="K37" s="20"/>
      <c r="L37" s="20"/>
      <c r="M37" s="21"/>
      <c r="N37" s="94"/>
    </row>
    <row r="38" spans="1:15" ht="39" customHeight="1">
      <c r="A38" s="96">
        <v>24</v>
      </c>
      <c r="B38" s="15" t="s">
        <v>191</v>
      </c>
      <c r="C38" s="15"/>
      <c r="D38" s="5">
        <f>SUM(D39:D47)-D40-D42-D44-D46</f>
        <v>4491.673999999999</v>
      </c>
      <c r="E38" s="92"/>
      <c r="G38" s="20"/>
      <c r="H38" s="20"/>
      <c r="I38" s="20"/>
      <c r="J38" s="20"/>
      <c r="K38" s="20"/>
      <c r="L38" s="20"/>
      <c r="M38" s="21"/>
      <c r="N38" s="94"/>
      <c r="O38" s="21"/>
    </row>
    <row r="39" spans="1:14" ht="25.5" customHeight="1">
      <c r="A39" s="116" t="s">
        <v>192</v>
      </c>
      <c r="B39" s="4" t="s">
        <v>193</v>
      </c>
      <c r="C39" s="111" t="s">
        <v>172</v>
      </c>
      <c r="D39" s="5">
        <v>194.379</v>
      </c>
      <c r="E39" s="92"/>
      <c r="G39" s="20"/>
      <c r="H39" s="20"/>
      <c r="I39" s="20"/>
      <c r="J39" s="20"/>
      <c r="K39" s="20"/>
      <c r="L39" s="20"/>
      <c r="M39" s="21"/>
      <c r="N39" s="94"/>
    </row>
    <row r="40" spans="1:14" ht="38.25" customHeight="1">
      <c r="A40" s="116"/>
      <c r="B40" s="4" t="s">
        <v>257</v>
      </c>
      <c r="C40" s="111"/>
      <c r="D40" s="5">
        <v>64.407</v>
      </c>
      <c r="E40" s="92"/>
      <c r="G40" s="20"/>
      <c r="H40" s="20"/>
      <c r="I40" s="20"/>
      <c r="J40" s="20"/>
      <c r="K40" s="20"/>
      <c r="L40" s="20"/>
      <c r="M40" s="21"/>
      <c r="N40" s="94"/>
    </row>
    <row r="41" spans="1:14" ht="25.5" customHeight="1">
      <c r="A41" s="116" t="s">
        <v>194</v>
      </c>
      <c r="B41" s="4" t="s">
        <v>195</v>
      </c>
      <c r="C41" s="111" t="s">
        <v>172</v>
      </c>
      <c r="D41" s="5">
        <v>1229.124</v>
      </c>
      <c r="E41" s="92"/>
      <c r="G41" s="20"/>
      <c r="H41" s="20"/>
      <c r="I41" s="20"/>
      <c r="J41" s="20"/>
      <c r="K41" s="20"/>
      <c r="L41" s="20"/>
      <c r="M41" s="21"/>
      <c r="N41" s="94"/>
    </row>
    <row r="42" spans="1:14" ht="38.25" customHeight="1">
      <c r="A42" s="116"/>
      <c r="B42" s="4" t="s">
        <v>257</v>
      </c>
      <c r="C42" s="111"/>
      <c r="D42" s="5">
        <v>1005.624</v>
      </c>
      <c r="E42" s="92"/>
      <c r="G42" s="20"/>
      <c r="H42" s="20"/>
      <c r="I42" s="20"/>
      <c r="J42" s="20"/>
      <c r="K42" s="20"/>
      <c r="L42" s="20"/>
      <c r="M42" s="21"/>
      <c r="N42" s="94"/>
    </row>
    <row r="43" spans="1:14" ht="37.5">
      <c r="A43" s="116" t="s">
        <v>196</v>
      </c>
      <c r="B43" s="4" t="s">
        <v>197</v>
      </c>
      <c r="C43" s="111" t="s">
        <v>172</v>
      </c>
      <c r="D43" s="5">
        <v>201.556</v>
      </c>
      <c r="E43" s="92"/>
      <c r="G43" s="20"/>
      <c r="H43" s="20"/>
      <c r="I43" s="20"/>
      <c r="J43" s="20"/>
      <c r="K43" s="20"/>
      <c r="L43" s="20"/>
      <c r="M43" s="21"/>
      <c r="N43" s="94"/>
    </row>
    <row r="44" spans="1:14" ht="38.25" customHeight="1">
      <c r="A44" s="116"/>
      <c r="B44" s="4" t="s">
        <v>257</v>
      </c>
      <c r="C44" s="111"/>
      <c r="D44" s="5">
        <v>107.156</v>
      </c>
      <c r="E44" s="92"/>
      <c r="G44" s="20"/>
      <c r="H44" s="20"/>
      <c r="I44" s="20"/>
      <c r="J44" s="20"/>
      <c r="K44" s="20"/>
      <c r="L44" s="20"/>
      <c r="M44" s="21"/>
      <c r="N44" s="94"/>
    </row>
    <row r="45" spans="1:14" ht="25.5" customHeight="1">
      <c r="A45" s="116" t="s">
        <v>198</v>
      </c>
      <c r="B45" s="15" t="s">
        <v>199</v>
      </c>
      <c r="C45" s="111" t="s">
        <v>172</v>
      </c>
      <c r="D45" s="5">
        <v>2684.279</v>
      </c>
      <c r="E45" s="92"/>
      <c r="G45" s="20"/>
      <c r="H45" s="20"/>
      <c r="I45" s="20"/>
      <c r="J45" s="20"/>
      <c r="K45" s="20"/>
      <c r="L45" s="20"/>
      <c r="M45" s="21"/>
      <c r="N45" s="94"/>
    </row>
    <row r="46" spans="1:14" ht="38.25" customHeight="1">
      <c r="A46" s="116"/>
      <c r="B46" s="4" t="s">
        <v>257</v>
      </c>
      <c r="C46" s="111"/>
      <c r="D46" s="5">
        <v>163.087</v>
      </c>
      <c r="E46" s="92"/>
      <c r="G46" s="20"/>
      <c r="H46" s="20"/>
      <c r="I46" s="20"/>
      <c r="J46" s="20"/>
      <c r="K46" s="20"/>
      <c r="L46" s="20"/>
      <c r="M46" s="21"/>
      <c r="N46" s="94"/>
    </row>
    <row r="47" spans="1:14" ht="36.75" customHeight="1">
      <c r="A47" s="14" t="s">
        <v>200</v>
      </c>
      <c r="B47" s="15" t="s">
        <v>201</v>
      </c>
      <c r="C47" s="15" t="s">
        <v>172</v>
      </c>
      <c r="D47" s="5">
        <v>182.336</v>
      </c>
      <c r="E47" s="92"/>
      <c r="G47" s="20"/>
      <c r="H47" s="20"/>
      <c r="I47" s="20"/>
      <c r="J47" s="20"/>
      <c r="K47" s="20"/>
      <c r="L47" s="20"/>
      <c r="M47" s="21"/>
      <c r="N47" s="94"/>
    </row>
    <row r="48" spans="1:14" ht="57.75" customHeight="1">
      <c r="A48" s="96">
        <v>32</v>
      </c>
      <c r="B48" s="15" t="s">
        <v>202</v>
      </c>
      <c r="C48" s="15"/>
      <c r="D48" s="5">
        <f>SUM(D49)</f>
        <v>37</v>
      </c>
      <c r="E48" s="92"/>
      <c r="G48" s="20"/>
      <c r="H48" s="20"/>
      <c r="I48" s="20"/>
      <c r="J48" s="20"/>
      <c r="K48" s="20"/>
      <c r="L48" s="20"/>
      <c r="M48" s="21"/>
      <c r="N48" s="94"/>
    </row>
    <row r="49" spans="1:14" ht="25.5" customHeight="1">
      <c r="A49" s="14" t="s">
        <v>170</v>
      </c>
      <c r="B49" s="4" t="s">
        <v>171</v>
      </c>
      <c r="C49" s="15" t="s">
        <v>172</v>
      </c>
      <c r="D49" s="5">
        <v>37</v>
      </c>
      <c r="E49" s="92"/>
      <c r="G49" s="20"/>
      <c r="H49" s="20"/>
      <c r="I49" s="20"/>
      <c r="J49" s="20"/>
      <c r="K49" s="20"/>
      <c r="L49" s="20"/>
      <c r="M49" s="21"/>
      <c r="N49" s="94"/>
    </row>
    <row r="50" spans="1:14" ht="40.5" customHeight="1">
      <c r="A50" s="14" t="s">
        <v>250</v>
      </c>
      <c r="B50" s="4" t="s">
        <v>251</v>
      </c>
      <c r="C50" s="15"/>
      <c r="D50" s="5">
        <f>SUM(D51:D52)-D52</f>
        <v>43.05</v>
      </c>
      <c r="E50" s="92"/>
      <c r="G50" s="20"/>
      <c r="H50" s="20"/>
      <c r="I50" s="20"/>
      <c r="J50" s="20"/>
      <c r="K50" s="20"/>
      <c r="L50" s="20"/>
      <c r="M50" s="21"/>
      <c r="N50" s="94"/>
    </row>
    <row r="51" spans="1:14" ht="29.25" customHeight="1">
      <c r="A51" s="116" t="s">
        <v>170</v>
      </c>
      <c r="B51" s="4" t="s">
        <v>171</v>
      </c>
      <c r="C51" s="111" t="s">
        <v>172</v>
      </c>
      <c r="D51" s="5">
        <v>43.05</v>
      </c>
      <c r="E51" s="92"/>
      <c r="G51" s="20"/>
      <c r="H51" s="20"/>
      <c r="I51" s="20"/>
      <c r="J51" s="20"/>
      <c r="K51" s="20"/>
      <c r="L51" s="20"/>
      <c r="M51" s="21"/>
      <c r="N51" s="94"/>
    </row>
    <row r="52" spans="1:14" ht="38.25" customHeight="1">
      <c r="A52" s="116"/>
      <c r="B52" s="4" t="s">
        <v>257</v>
      </c>
      <c r="C52" s="111"/>
      <c r="D52" s="5">
        <v>43.05</v>
      </c>
      <c r="E52" s="92"/>
      <c r="G52" s="20"/>
      <c r="H52" s="20"/>
      <c r="I52" s="20"/>
      <c r="J52" s="20"/>
      <c r="K52" s="20"/>
      <c r="L52" s="20"/>
      <c r="M52" s="21"/>
      <c r="N52" s="94"/>
    </row>
    <row r="53" spans="1:14" ht="40.5" customHeight="1">
      <c r="A53" s="96">
        <v>40</v>
      </c>
      <c r="B53" s="15" t="s">
        <v>239</v>
      </c>
      <c r="C53" s="15"/>
      <c r="D53" s="5">
        <f>SUM(D54:D61)-D56-D59-D61</f>
        <v>63354.566000000006</v>
      </c>
      <c r="E53" s="92"/>
      <c r="G53" s="20"/>
      <c r="H53" s="20"/>
      <c r="I53" s="20"/>
      <c r="J53" s="20"/>
      <c r="K53" s="20"/>
      <c r="L53" s="20"/>
      <c r="M53" s="21"/>
      <c r="N53" s="94"/>
    </row>
    <row r="54" spans="1:14" ht="25.5" customHeight="1">
      <c r="A54" s="14" t="s">
        <v>170</v>
      </c>
      <c r="B54" s="4" t="s">
        <v>171</v>
      </c>
      <c r="C54" s="15" t="s">
        <v>172</v>
      </c>
      <c r="D54" s="5">
        <v>60</v>
      </c>
      <c r="E54" s="92"/>
      <c r="G54" s="20"/>
      <c r="H54" s="20"/>
      <c r="I54" s="20"/>
      <c r="J54" s="20"/>
      <c r="K54" s="20"/>
      <c r="L54" s="20"/>
      <c r="M54" s="21"/>
      <c r="N54" s="94"/>
    </row>
    <row r="55" spans="1:14" ht="39" customHeight="1">
      <c r="A55" s="116" t="s">
        <v>203</v>
      </c>
      <c r="B55" s="4" t="s">
        <v>204</v>
      </c>
      <c r="C55" s="111" t="s">
        <v>172</v>
      </c>
      <c r="D55" s="5">
        <v>56924.475</v>
      </c>
      <c r="E55" s="92"/>
      <c r="G55" s="20"/>
      <c r="H55" s="20"/>
      <c r="I55" s="20"/>
      <c r="J55" s="20"/>
      <c r="K55" s="20"/>
      <c r="L55" s="20"/>
      <c r="M55" s="21"/>
      <c r="N55" s="94"/>
    </row>
    <row r="56" spans="1:14" ht="38.25" customHeight="1">
      <c r="A56" s="116"/>
      <c r="B56" s="4" t="s">
        <v>257</v>
      </c>
      <c r="C56" s="111"/>
      <c r="D56" s="5">
        <v>7409.833</v>
      </c>
      <c r="E56" s="92"/>
      <c r="G56" s="20"/>
      <c r="H56" s="20"/>
      <c r="I56" s="20"/>
      <c r="J56" s="20"/>
      <c r="K56" s="20"/>
      <c r="L56" s="20"/>
      <c r="M56" s="21"/>
      <c r="N56" s="94"/>
    </row>
    <row r="57" spans="1:14" ht="59.25" customHeight="1">
      <c r="A57" s="14" t="s">
        <v>1</v>
      </c>
      <c r="B57" s="4" t="s">
        <v>2</v>
      </c>
      <c r="C57" s="15" t="s">
        <v>172</v>
      </c>
      <c r="D57" s="5">
        <v>951.177</v>
      </c>
      <c r="E57" s="92"/>
      <c r="G57" s="20"/>
      <c r="H57" s="20"/>
      <c r="I57" s="20"/>
      <c r="J57" s="20"/>
      <c r="K57" s="20"/>
      <c r="L57" s="20"/>
      <c r="M57" s="21"/>
      <c r="N57" s="94"/>
    </row>
    <row r="58" spans="1:14" ht="25.5" customHeight="1">
      <c r="A58" s="116" t="s">
        <v>207</v>
      </c>
      <c r="B58" s="1" t="s">
        <v>240</v>
      </c>
      <c r="C58" s="111" t="s">
        <v>172</v>
      </c>
      <c r="D58" s="5">
        <v>3669.094</v>
      </c>
      <c r="E58" s="92"/>
      <c r="G58" s="20"/>
      <c r="H58" s="20"/>
      <c r="I58" s="20"/>
      <c r="J58" s="20"/>
      <c r="K58" s="20"/>
      <c r="L58" s="20"/>
      <c r="M58" s="97"/>
      <c r="N58" s="94"/>
    </row>
    <row r="59" spans="1:14" ht="38.25" customHeight="1">
      <c r="A59" s="116"/>
      <c r="B59" s="4" t="s">
        <v>257</v>
      </c>
      <c r="C59" s="111"/>
      <c r="D59" s="5">
        <v>319.273</v>
      </c>
      <c r="E59" s="92"/>
      <c r="G59" s="20"/>
      <c r="H59" s="20"/>
      <c r="I59" s="20"/>
      <c r="J59" s="20"/>
      <c r="K59" s="20"/>
      <c r="L59" s="20"/>
      <c r="M59" s="21"/>
      <c r="N59" s="94"/>
    </row>
    <row r="60" spans="1:14" ht="25.5" customHeight="1">
      <c r="A60" s="116" t="s">
        <v>205</v>
      </c>
      <c r="B60" s="4" t="s">
        <v>173</v>
      </c>
      <c r="C60" s="111" t="s">
        <v>172</v>
      </c>
      <c r="D60" s="5">
        <v>1749.82</v>
      </c>
      <c r="E60" s="92"/>
      <c r="G60" s="20"/>
      <c r="H60" s="20"/>
      <c r="I60" s="20"/>
      <c r="J60" s="20"/>
      <c r="K60" s="20"/>
      <c r="L60" s="20"/>
      <c r="M60" s="21"/>
      <c r="N60" s="94"/>
    </row>
    <row r="61" spans="1:14" ht="38.25" customHeight="1">
      <c r="A61" s="116"/>
      <c r="B61" s="4" t="s">
        <v>257</v>
      </c>
      <c r="C61" s="111"/>
      <c r="D61" s="5">
        <v>13.632</v>
      </c>
      <c r="E61" s="92"/>
      <c r="G61" s="20"/>
      <c r="H61" s="20"/>
      <c r="I61" s="20"/>
      <c r="J61" s="20"/>
      <c r="K61" s="20"/>
      <c r="L61" s="20"/>
      <c r="M61" s="21"/>
      <c r="N61" s="94"/>
    </row>
    <row r="62" spans="1:14" ht="60" customHeight="1">
      <c r="A62" s="96">
        <v>45</v>
      </c>
      <c r="B62" s="15" t="s">
        <v>208</v>
      </c>
      <c r="C62" s="15" t="s">
        <v>206</v>
      </c>
      <c r="D62" s="5">
        <f>SUM(D63)</f>
        <v>46.423</v>
      </c>
      <c r="E62" s="92"/>
      <c r="G62" s="20"/>
      <c r="H62" s="20"/>
      <c r="I62" s="20"/>
      <c r="J62" s="20"/>
      <c r="K62" s="20"/>
      <c r="L62" s="20"/>
      <c r="M62" s="97"/>
      <c r="N62" s="94"/>
    </row>
    <row r="63" spans="1:14" ht="25.5" customHeight="1">
      <c r="A63" s="116" t="s">
        <v>170</v>
      </c>
      <c r="B63" s="4" t="s">
        <v>171</v>
      </c>
      <c r="C63" s="111" t="s">
        <v>172</v>
      </c>
      <c r="D63" s="5">
        <f>36+10.423</f>
        <v>46.423</v>
      </c>
      <c r="E63" s="92"/>
      <c r="G63" s="20"/>
      <c r="H63" s="20"/>
      <c r="I63" s="20"/>
      <c r="J63" s="20"/>
      <c r="K63" s="20"/>
      <c r="L63" s="20"/>
      <c r="M63" s="97"/>
      <c r="N63" s="94"/>
    </row>
    <row r="64" spans="1:14" ht="38.25" customHeight="1">
      <c r="A64" s="116"/>
      <c r="B64" s="4" t="s">
        <v>257</v>
      </c>
      <c r="C64" s="111"/>
      <c r="D64" s="5">
        <v>10.423</v>
      </c>
      <c r="E64" s="92"/>
      <c r="G64" s="20"/>
      <c r="H64" s="20"/>
      <c r="I64" s="20"/>
      <c r="J64" s="20"/>
      <c r="K64" s="20"/>
      <c r="L64" s="20"/>
      <c r="M64" s="21"/>
      <c r="N64" s="94"/>
    </row>
    <row r="65" spans="1:14" ht="39" customHeight="1">
      <c r="A65" s="96">
        <v>56</v>
      </c>
      <c r="B65" s="15" t="s">
        <v>221</v>
      </c>
      <c r="C65" s="15" t="s">
        <v>206</v>
      </c>
      <c r="D65" s="5">
        <f>SUM(D66)</f>
        <v>29</v>
      </c>
      <c r="E65" s="92"/>
      <c r="G65" s="20"/>
      <c r="H65" s="20"/>
      <c r="I65" s="20"/>
      <c r="J65" s="20"/>
      <c r="K65" s="20"/>
      <c r="L65" s="20"/>
      <c r="M65" s="97"/>
      <c r="N65" s="94"/>
    </row>
    <row r="66" spans="1:14" ht="25.5" customHeight="1">
      <c r="A66" s="14" t="s">
        <v>170</v>
      </c>
      <c r="B66" s="4" t="s">
        <v>171</v>
      </c>
      <c r="C66" s="15" t="s">
        <v>172</v>
      </c>
      <c r="D66" s="5">
        <v>29</v>
      </c>
      <c r="E66" s="92"/>
      <c r="G66" s="20"/>
      <c r="H66" s="20"/>
      <c r="I66" s="20"/>
      <c r="J66" s="20"/>
      <c r="K66" s="20"/>
      <c r="L66" s="20"/>
      <c r="M66" s="97"/>
      <c r="N66" s="94"/>
    </row>
    <row r="67" spans="1:14" ht="57" customHeight="1">
      <c r="A67" s="14" t="s">
        <v>222</v>
      </c>
      <c r="B67" s="1" t="s">
        <v>223</v>
      </c>
      <c r="C67" s="15"/>
      <c r="D67" s="5">
        <f>SUM(D68)</f>
        <v>878.07</v>
      </c>
      <c r="E67" s="92"/>
      <c r="G67" s="20"/>
      <c r="H67" s="20"/>
      <c r="I67" s="20"/>
      <c r="J67" s="20"/>
      <c r="K67" s="20"/>
      <c r="L67" s="20"/>
      <c r="M67" s="97"/>
      <c r="N67" s="94"/>
    </row>
    <row r="68" spans="1:14" ht="41.25" customHeight="1">
      <c r="A68" s="14" t="s">
        <v>71</v>
      </c>
      <c r="B68" s="4" t="s">
        <v>72</v>
      </c>
      <c r="C68" s="15" t="s">
        <v>172</v>
      </c>
      <c r="D68" s="5">
        <v>878.07</v>
      </c>
      <c r="E68" s="92"/>
      <c r="G68" s="20"/>
      <c r="H68" s="20"/>
      <c r="I68" s="20"/>
      <c r="J68" s="20"/>
      <c r="K68" s="20"/>
      <c r="L68" s="20"/>
      <c r="M68" s="97"/>
      <c r="N68" s="94"/>
    </row>
    <row r="69" spans="1:14" ht="80.25" customHeight="1">
      <c r="A69" s="54">
        <v>67</v>
      </c>
      <c r="B69" s="1" t="s">
        <v>245</v>
      </c>
      <c r="C69" s="15"/>
      <c r="D69" s="5">
        <f>SUM(D70:D71)</f>
        <v>6922.539</v>
      </c>
      <c r="E69" s="92"/>
      <c r="F69" s="95"/>
      <c r="G69" s="20"/>
      <c r="H69" s="20"/>
      <c r="I69" s="20"/>
      <c r="J69" s="20"/>
      <c r="K69" s="20"/>
      <c r="L69" s="20"/>
      <c r="M69" s="21"/>
      <c r="N69" s="94"/>
    </row>
    <row r="70" spans="1:14" ht="60.75" customHeight="1">
      <c r="A70" s="2" t="s">
        <v>144</v>
      </c>
      <c r="B70" s="1" t="s">
        <v>162</v>
      </c>
      <c r="C70" s="15" t="s">
        <v>172</v>
      </c>
      <c r="D70" s="5">
        <v>6850</v>
      </c>
      <c r="E70" s="92"/>
      <c r="F70" s="95"/>
      <c r="G70" s="20"/>
      <c r="H70" s="20"/>
      <c r="I70" s="20"/>
      <c r="J70" s="20"/>
      <c r="K70" s="20"/>
      <c r="L70" s="20"/>
      <c r="M70" s="21"/>
      <c r="N70" s="94"/>
    </row>
    <row r="71" spans="1:14" ht="26.25" customHeight="1">
      <c r="A71" s="2" t="s">
        <v>224</v>
      </c>
      <c r="B71" s="1" t="s">
        <v>225</v>
      </c>
      <c r="C71" s="15" t="s">
        <v>172</v>
      </c>
      <c r="D71" s="5">
        <v>72.539</v>
      </c>
      <c r="E71" s="92"/>
      <c r="F71" s="95"/>
      <c r="G71" s="20"/>
      <c r="H71" s="20"/>
      <c r="I71" s="20"/>
      <c r="J71" s="20"/>
      <c r="K71" s="20"/>
      <c r="L71" s="20"/>
      <c r="M71" s="21"/>
      <c r="N71" s="94"/>
    </row>
    <row r="72" spans="1:14" ht="37.5" customHeight="1">
      <c r="A72" s="14">
        <v>73</v>
      </c>
      <c r="B72" s="15" t="s">
        <v>116</v>
      </c>
      <c r="C72" s="15"/>
      <c r="D72" s="5">
        <f>SUM(D73:D74)</f>
        <v>20030</v>
      </c>
      <c r="E72" s="92"/>
      <c r="F72" s="95"/>
      <c r="G72" s="20"/>
      <c r="H72" s="20"/>
      <c r="I72" s="20"/>
      <c r="J72" s="20"/>
      <c r="K72" s="20"/>
      <c r="L72" s="20"/>
      <c r="M72" s="21"/>
      <c r="N72" s="94"/>
    </row>
    <row r="73" spans="1:14" ht="25.5" customHeight="1">
      <c r="A73" s="14" t="s">
        <v>170</v>
      </c>
      <c r="B73" s="4" t="s">
        <v>171</v>
      </c>
      <c r="C73" s="15" t="s">
        <v>172</v>
      </c>
      <c r="D73" s="5">
        <v>30</v>
      </c>
      <c r="E73" s="92"/>
      <c r="F73" s="95"/>
      <c r="G73" s="20"/>
      <c r="H73" s="20"/>
      <c r="I73" s="20"/>
      <c r="J73" s="20"/>
      <c r="K73" s="20"/>
      <c r="L73" s="20"/>
      <c r="M73" s="21"/>
      <c r="N73" s="94"/>
    </row>
    <row r="74" spans="1:14" ht="54" customHeight="1">
      <c r="A74" s="2" t="s">
        <v>144</v>
      </c>
      <c r="B74" s="1" t="s">
        <v>162</v>
      </c>
      <c r="C74" s="15" t="s">
        <v>172</v>
      </c>
      <c r="D74" s="5">
        <v>20000</v>
      </c>
      <c r="E74" s="92"/>
      <c r="F74" s="95"/>
      <c r="G74" s="20"/>
      <c r="H74" s="20"/>
      <c r="I74" s="20"/>
      <c r="J74" s="20"/>
      <c r="K74" s="20"/>
      <c r="L74" s="20"/>
      <c r="M74" s="21"/>
      <c r="N74" s="94"/>
    </row>
    <row r="75" spans="1:14" ht="54" customHeight="1">
      <c r="A75" s="2" t="s">
        <v>4</v>
      </c>
      <c r="B75" s="1" t="s">
        <v>3</v>
      </c>
      <c r="C75" s="15"/>
      <c r="D75" s="5">
        <f>SUM(D76)</f>
        <v>74.788</v>
      </c>
      <c r="E75" s="92"/>
      <c r="F75" s="95"/>
      <c r="G75" s="20"/>
      <c r="H75" s="20"/>
      <c r="I75" s="20"/>
      <c r="J75" s="20"/>
      <c r="K75" s="20"/>
      <c r="L75" s="20"/>
      <c r="M75" s="21"/>
      <c r="N75" s="94"/>
    </row>
    <row r="76" spans="1:14" ht="35.25" customHeight="1">
      <c r="A76" s="14" t="s">
        <v>170</v>
      </c>
      <c r="B76" s="4" t="s">
        <v>171</v>
      </c>
      <c r="C76" s="15" t="s">
        <v>172</v>
      </c>
      <c r="D76" s="5">
        <v>74.788</v>
      </c>
      <c r="E76" s="92"/>
      <c r="F76" s="95"/>
      <c r="G76" s="20"/>
      <c r="H76" s="20"/>
      <c r="I76" s="20"/>
      <c r="J76" s="20"/>
      <c r="K76" s="20"/>
      <c r="L76" s="20"/>
      <c r="M76" s="21"/>
      <c r="N76" s="94"/>
    </row>
    <row r="77" spans="1:14" ht="54" customHeight="1">
      <c r="A77" s="2" t="s">
        <v>7</v>
      </c>
      <c r="B77" s="1" t="s">
        <v>8</v>
      </c>
      <c r="C77" s="15"/>
      <c r="D77" s="5">
        <f>SUM(D78)</f>
        <v>11</v>
      </c>
      <c r="E77" s="92"/>
      <c r="F77" s="95"/>
      <c r="G77" s="20"/>
      <c r="H77" s="20"/>
      <c r="I77" s="20"/>
      <c r="J77" s="20"/>
      <c r="K77" s="20"/>
      <c r="L77" s="20"/>
      <c r="M77" s="21"/>
      <c r="N77" s="94"/>
    </row>
    <row r="78" spans="1:14" ht="35.25" customHeight="1">
      <c r="A78" s="14" t="s">
        <v>207</v>
      </c>
      <c r="B78" s="1" t="s">
        <v>456</v>
      </c>
      <c r="C78" s="15" t="s">
        <v>172</v>
      </c>
      <c r="D78" s="5">
        <v>11</v>
      </c>
      <c r="E78" s="92"/>
      <c r="F78" s="95"/>
      <c r="G78" s="20"/>
      <c r="H78" s="20"/>
      <c r="I78" s="20"/>
      <c r="J78" s="20"/>
      <c r="K78" s="20"/>
      <c r="L78" s="20"/>
      <c r="M78" s="21"/>
      <c r="N78" s="94"/>
    </row>
    <row r="79" spans="1:14" ht="39.75" customHeight="1">
      <c r="A79" s="2" t="s">
        <v>252</v>
      </c>
      <c r="B79" s="1" t="s">
        <v>126</v>
      </c>
      <c r="C79" s="62"/>
      <c r="D79" s="98" t="s">
        <v>253</v>
      </c>
      <c r="E79" s="92"/>
      <c r="F79" s="95"/>
      <c r="G79" s="20"/>
      <c r="H79" s="20"/>
      <c r="I79" s="20"/>
      <c r="J79" s="20"/>
      <c r="K79" s="20"/>
      <c r="L79" s="20"/>
      <c r="M79" s="21"/>
      <c r="N79" s="94"/>
    </row>
    <row r="80" spans="1:14" ht="24" customHeight="1">
      <c r="A80" s="131" t="s">
        <v>207</v>
      </c>
      <c r="B80" s="62" t="s">
        <v>454</v>
      </c>
      <c r="C80" s="119" t="s">
        <v>172</v>
      </c>
      <c r="D80" s="98" t="s">
        <v>253</v>
      </c>
      <c r="E80" s="92"/>
      <c r="F80" s="95"/>
      <c r="G80" s="20"/>
      <c r="H80" s="20"/>
      <c r="I80" s="20"/>
      <c r="J80" s="20"/>
      <c r="K80" s="20"/>
      <c r="L80" s="20"/>
      <c r="M80" s="21"/>
      <c r="N80" s="94"/>
    </row>
    <row r="81" spans="1:14" ht="36.75" customHeight="1">
      <c r="A81" s="131"/>
      <c r="B81" s="4" t="s">
        <v>257</v>
      </c>
      <c r="C81" s="119"/>
      <c r="D81" s="98" t="s">
        <v>253</v>
      </c>
      <c r="E81" s="92"/>
      <c r="F81" s="95"/>
      <c r="G81" s="20"/>
      <c r="H81" s="20"/>
      <c r="I81" s="20"/>
      <c r="J81" s="20"/>
      <c r="K81" s="20"/>
      <c r="L81" s="20"/>
      <c r="M81" s="21"/>
      <c r="N81" s="94"/>
    </row>
    <row r="82" spans="1:10" ht="39" customHeight="1">
      <c r="A82" s="54">
        <v>94</v>
      </c>
      <c r="B82" s="1" t="s">
        <v>330</v>
      </c>
      <c r="C82" s="7"/>
      <c r="D82" s="99">
        <f>SUM(D83)</f>
        <v>5.2</v>
      </c>
      <c r="E82" s="100"/>
      <c r="F82" s="20"/>
      <c r="G82" s="100"/>
      <c r="H82" s="20"/>
      <c r="I82" s="100"/>
      <c r="J82" s="93"/>
    </row>
    <row r="83" spans="1:10" ht="36" customHeight="1">
      <c r="A83" s="14" t="s">
        <v>207</v>
      </c>
      <c r="B83" s="1" t="s">
        <v>456</v>
      </c>
      <c r="C83" s="7" t="s">
        <v>172</v>
      </c>
      <c r="D83" s="99">
        <v>5.2</v>
      </c>
      <c r="E83" s="100"/>
      <c r="F83" s="20"/>
      <c r="G83" s="100"/>
      <c r="H83" s="20"/>
      <c r="I83" s="100"/>
      <c r="J83" s="93"/>
    </row>
    <row r="84" spans="1:14" ht="36.75" customHeight="1">
      <c r="A84" s="2" t="s">
        <v>234</v>
      </c>
      <c r="B84" s="1" t="s">
        <v>142</v>
      </c>
      <c r="C84" s="62"/>
      <c r="D84" s="3">
        <f>SUM(D87+D85)</f>
        <v>22.896</v>
      </c>
      <c r="E84" s="92"/>
      <c r="F84" s="95"/>
      <c r="G84" s="20"/>
      <c r="H84" s="20"/>
      <c r="I84" s="20"/>
      <c r="J84" s="20"/>
      <c r="K84" s="20"/>
      <c r="L84" s="20"/>
      <c r="M84" s="21"/>
      <c r="N84" s="94"/>
    </row>
    <row r="85" spans="1:14" ht="26.25" customHeight="1">
      <c r="A85" s="131" t="s">
        <v>170</v>
      </c>
      <c r="B85" s="62" t="s">
        <v>457</v>
      </c>
      <c r="C85" s="119" t="s">
        <v>172</v>
      </c>
      <c r="D85" s="98" t="s">
        <v>254</v>
      </c>
      <c r="E85" s="92"/>
      <c r="F85" s="95"/>
      <c r="G85" s="20"/>
      <c r="H85" s="20"/>
      <c r="I85" s="20"/>
      <c r="J85" s="20"/>
      <c r="K85" s="20"/>
      <c r="L85" s="20"/>
      <c r="M85" s="21"/>
      <c r="N85" s="94"/>
    </row>
    <row r="86" spans="1:14" ht="36.75" customHeight="1">
      <c r="A86" s="131"/>
      <c r="B86" s="4" t="s">
        <v>257</v>
      </c>
      <c r="C86" s="119"/>
      <c r="D86" s="98" t="s">
        <v>254</v>
      </c>
      <c r="E86" s="92"/>
      <c r="F86" s="95"/>
      <c r="G86" s="20"/>
      <c r="H86" s="20"/>
      <c r="I86" s="20"/>
      <c r="J86" s="20"/>
      <c r="K86" s="20"/>
      <c r="L86" s="20"/>
      <c r="M86" s="21"/>
      <c r="N86" s="94"/>
    </row>
    <row r="87" spans="1:14" ht="21.75" customHeight="1">
      <c r="A87" s="131" t="s">
        <v>207</v>
      </c>
      <c r="B87" s="62" t="s">
        <v>454</v>
      </c>
      <c r="C87" s="119" t="s">
        <v>172</v>
      </c>
      <c r="D87" s="98" t="s">
        <v>315</v>
      </c>
      <c r="E87" s="92"/>
      <c r="F87" s="95"/>
      <c r="G87" s="20"/>
      <c r="H87" s="20"/>
      <c r="I87" s="20"/>
      <c r="J87" s="20"/>
      <c r="K87" s="20"/>
      <c r="L87" s="20"/>
      <c r="M87" s="21"/>
      <c r="N87" s="94"/>
    </row>
    <row r="88" spans="1:14" ht="36.75" customHeight="1">
      <c r="A88" s="131"/>
      <c r="B88" s="4" t="s">
        <v>257</v>
      </c>
      <c r="C88" s="119"/>
      <c r="D88" s="98" t="s">
        <v>315</v>
      </c>
      <c r="E88" s="92"/>
      <c r="F88" s="95"/>
      <c r="G88" s="20"/>
      <c r="H88" s="20"/>
      <c r="I88" s="20"/>
      <c r="J88" s="20"/>
      <c r="K88" s="20"/>
      <c r="L88" s="20"/>
      <c r="M88" s="21"/>
      <c r="N88" s="94"/>
    </row>
    <row r="89" spans="1:14" ht="48" customHeight="1">
      <c r="A89" s="2" t="s">
        <v>255</v>
      </c>
      <c r="B89" s="1" t="s">
        <v>0</v>
      </c>
      <c r="C89" s="62"/>
      <c r="D89" s="98" t="s">
        <v>256</v>
      </c>
      <c r="E89" s="92"/>
      <c r="F89" s="95"/>
      <c r="G89" s="20"/>
      <c r="H89" s="20"/>
      <c r="I89" s="20"/>
      <c r="J89" s="20"/>
      <c r="K89" s="20"/>
      <c r="L89" s="20"/>
      <c r="M89" s="21"/>
      <c r="N89" s="94"/>
    </row>
    <row r="90" spans="1:14" ht="22.5" customHeight="1">
      <c r="A90" s="116" t="s">
        <v>170</v>
      </c>
      <c r="B90" s="4" t="s">
        <v>457</v>
      </c>
      <c r="C90" s="111" t="s">
        <v>172</v>
      </c>
      <c r="D90" s="5">
        <v>146.388</v>
      </c>
      <c r="E90" s="92"/>
      <c r="F90" s="95"/>
      <c r="G90" s="20"/>
      <c r="H90" s="20"/>
      <c r="I90" s="20"/>
      <c r="J90" s="20"/>
      <c r="K90" s="20"/>
      <c r="L90" s="20"/>
      <c r="M90" s="21"/>
      <c r="N90" s="94"/>
    </row>
    <row r="91" spans="1:14" ht="48" customHeight="1" thickBot="1">
      <c r="A91" s="117"/>
      <c r="B91" s="101" t="s">
        <v>257</v>
      </c>
      <c r="C91" s="122"/>
      <c r="D91" s="102">
        <v>146.388</v>
      </c>
      <c r="E91" s="92"/>
      <c r="F91" s="95"/>
      <c r="G91" s="20"/>
      <c r="H91" s="20"/>
      <c r="I91" s="20"/>
      <c r="J91" s="20"/>
      <c r="K91" s="20"/>
      <c r="L91" s="20"/>
      <c r="M91" s="21"/>
      <c r="N91" s="94"/>
    </row>
    <row r="92" ht="13.5" customHeight="1"/>
    <row r="93" spans="1:4" ht="8.25" customHeight="1">
      <c r="A93" s="118"/>
      <c r="B93" s="118"/>
      <c r="C93" s="118"/>
      <c r="D93" s="118"/>
    </row>
    <row r="94" spans="1:8" s="105" customFormat="1" ht="52.5" customHeight="1">
      <c r="A94" s="120" t="s">
        <v>209</v>
      </c>
      <c r="B94" s="120"/>
      <c r="C94" s="121" t="s">
        <v>210</v>
      </c>
      <c r="D94" s="121"/>
      <c r="E94" s="104"/>
      <c r="F94" s="104"/>
      <c r="G94" s="104"/>
      <c r="H94" s="104"/>
    </row>
    <row r="95" ht="18.75" hidden="1"/>
  </sheetData>
  <sheetProtection/>
  <mergeCells count="49">
    <mergeCell ref="A25:A26"/>
    <mergeCell ref="A21:A22"/>
    <mergeCell ref="C21:C22"/>
    <mergeCell ref="A23:A24"/>
    <mergeCell ref="C23:C24"/>
    <mergeCell ref="A15:A16"/>
    <mergeCell ref="C87:C88"/>
    <mergeCell ref="C55:C56"/>
    <mergeCell ref="A41:A42"/>
    <mergeCell ref="C41:C42"/>
    <mergeCell ref="A51:A52"/>
    <mergeCell ref="C15:C16"/>
    <mergeCell ref="A33:A34"/>
    <mergeCell ref="C33:C34"/>
    <mergeCell ref="A43:A44"/>
    <mergeCell ref="A2:D2"/>
    <mergeCell ref="C4:C5"/>
    <mergeCell ref="D4:D5"/>
    <mergeCell ref="A13:A14"/>
    <mergeCell ref="C13:C14"/>
    <mergeCell ref="C39:C40"/>
    <mergeCell ref="A31:A32"/>
    <mergeCell ref="A94:B94"/>
    <mergeCell ref="C94:D94"/>
    <mergeCell ref="A60:A61"/>
    <mergeCell ref="C60:C61"/>
    <mergeCell ref="A63:A64"/>
    <mergeCell ref="C63:C64"/>
    <mergeCell ref="C90:C91"/>
    <mergeCell ref="A90:A91"/>
    <mergeCell ref="A87:A88"/>
    <mergeCell ref="A93:D93"/>
    <mergeCell ref="C51:C52"/>
    <mergeCell ref="A55:A56"/>
    <mergeCell ref="A80:A81"/>
    <mergeCell ref="C80:C81"/>
    <mergeCell ref="A85:A86"/>
    <mergeCell ref="C85:C86"/>
    <mergeCell ref="A58:A59"/>
    <mergeCell ref="C31:C32"/>
    <mergeCell ref="C58:C59"/>
    <mergeCell ref="A9:A10"/>
    <mergeCell ref="C9:C10"/>
    <mergeCell ref="C36:C37"/>
    <mergeCell ref="C43:C44"/>
    <mergeCell ref="A36:A37"/>
    <mergeCell ref="A45:A46"/>
    <mergeCell ref="C45:C46"/>
    <mergeCell ref="A39:A40"/>
  </mergeCells>
  <printOptions/>
  <pageMargins left="0.9055118110236221" right="0.31496062992125984" top="0.5511811023622047" bottom="0.35433070866141736" header="0.31496062992125984" footer="0.31496062992125984"/>
  <pageSetup firstPageNumber="30" useFirstPageNumber="1" horizontalDpi="600" verticalDpi="600" orientation="portrait" paperSize="9" scale="81"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dc:creator>
  <cp:keywords/>
  <dc:description/>
  <cp:lastModifiedBy>админ</cp:lastModifiedBy>
  <cp:lastPrinted>2013-04-24T13:43:03Z</cp:lastPrinted>
  <dcterms:created xsi:type="dcterms:W3CDTF">2010-08-18T08:39:04Z</dcterms:created>
  <dcterms:modified xsi:type="dcterms:W3CDTF">2013-05-07T05:44:09Z</dcterms:modified>
  <cp:category/>
  <cp:version/>
  <cp:contentType/>
  <cp:contentStatus/>
</cp:coreProperties>
</file>