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'Місто'!$A$1:$M$557</definedName>
  </definedNames>
  <calcPr fullCalcOnLoad="1"/>
</workbook>
</file>

<file path=xl/sharedStrings.xml><?xml version="1.0" encoding="utf-8"?>
<sst xmlns="http://schemas.openxmlformats.org/spreadsheetml/2006/main" count="948" uniqueCount="404">
  <si>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</si>
  <si>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</si>
  <si>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</si>
  <si>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</si>
  <si>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</si>
  <si>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</si>
  <si>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</si>
  <si>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</si>
  <si>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</si>
  <si>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</si>
  <si>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</si>
  <si>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</si>
  <si>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</si>
  <si>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</si>
  <si>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</si>
  <si>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</si>
  <si>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</si>
  <si>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</si>
  <si>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</si>
  <si>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</si>
  <si>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</si>
  <si>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</si>
  <si>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</si>
  <si>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</si>
  <si>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</si>
  <si>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</si>
  <si>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</si>
  <si>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</si>
  <si>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оплата послуг по перевезенню призовників</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</si>
  <si>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</si>
  <si>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</si>
  <si>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</si>
  <si>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</si>
  <si>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</si>
  <si>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</si>
  <si>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</si>
  <si>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</si>
  <si>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</si>
  <si>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</si>
  <si>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</si>
  <si>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</si>
  <si>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</si>
  <si>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</si>
  <si>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</si>
  <si>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</si>
  <si>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</si>
  <si>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</si>
  <si>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ремонт нежитлових приміщень</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</si>
  <si>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</si>
  <si>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</si>
  <si>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</si>
  <si>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</si>
  <si>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</si>
  <si>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</si>
  <si>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</si>
  <si>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</si>
  <si>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</si>
  <si>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</si>
  <si>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</si>
  <si>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</si>
  <si>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</si>
  <si>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</si>
  <si>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</si>
  <si>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</si>
  <si>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</si>
  <si>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</si>
  <si>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</si>
  <si>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</si>
  <si>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</si>
  <si>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</si>
  <si>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</si>
  <si>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</si>
  <si>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</si>
  <si>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</si>
  <si>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</si>
  <si>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</si>
  <si>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</si>
  <si>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</si>
  <si>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</si>
  <si>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</si>
  <si>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</si>
  <si>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</si>
  <si>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</si>
  <si>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</si>
  <si>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</si>
  <si>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</si>
  <si>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</si>
  <si>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</si>
  <si>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</si>
  <si>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</si>
  <si>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</si>
  <si>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</si>
  <si>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</si>
  <si>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</si>
  <si>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</si>
  <si>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</si>
  <si>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</si>
  <si>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</si>
  <si>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</si>
  <si>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</si>
  <si>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</si>
  <si>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</si>
  <si>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</si>
  <si>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</si>
  <si>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</si>
  <si>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</si>
  <si>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</si>
  <si>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</si>
  <si>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</si>
  <si>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</si>
  <si>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</si>
  <si>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</si>
  <si>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</si>
  <si>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</si>
  <si>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</si>
  <si>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</si>
  <si>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</si>
  <si>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</si>
  <si>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</si>
  <si>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</si>
  <si>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</si>
  <si>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</si>
  <si>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</si>
  <si>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</si>
  <si>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</si>
  <si>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</si>
  <si>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</si>
  <si>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</si>
  <si>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</si>
  <si>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</si>
  <si>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</si>
  <si>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</si>
  <si>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</si>
  <si>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</si>
  <si>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</si>
  <si>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</si>
  <si>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</si>
  <si>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</si>
  <si>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</si>
  <si>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</si>
  <si>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</si>
  <si>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</si>
  <si>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</si>
  <si>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</si>
  <si>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</si>
  <si>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</si>
  <si>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</si>
  <si>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</si>
  <si>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</si>
  <si>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</si>
  <si>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</si>
  <si>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</si>
  <si>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</si>
  <si>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</si>
  <si>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</si>
  <si>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</si>
  <si>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</si>
  <si>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</si>
  <si>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</si>
  <si>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</si>
  <si>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</si>
  <si>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</si>
  <si>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</si>
  <si>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</si>
  <si>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</si>
  <si>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</si>
  <si>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</si>
  <si>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</si>
  <si>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</si>
  <si>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</si>
  <si>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</si>
  <si>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</si>
  <si>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</si>
  <si>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</si>
  <si>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</si>
  <si>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</si>
  <si>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</si>
  <si>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</si>
  <si>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</si>
  <si>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</si>
  <si>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</si>
  <si>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</si>
  <si>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</si>
  <si>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</si>
  <si>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</si>
  <si>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</si>
  <si>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</si>
  <si>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</si>
  <si>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</si>
  <si>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</si>
  <si>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</si>
  <si>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</si>
  <si>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</si>
  <si>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</si>
  <si>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</si>
  <si>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</si>
  <si>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</si>
  <si>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</si>
  <si>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</si>
  <si>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</si>
  <si>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</si>
  <si>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</si>
  <si>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</si>
  <si>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</si>
  <si>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</si>
  <si>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</si>
  <si>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</si>
  <si>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</si>
  <si>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</si>
  <si>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</si>
  <si>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</si>
  <si>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</si>
  <si>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</si>
  <si>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</si>
  <si>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</si>
  <si>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</si>
  <si>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</si>
  <si>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</si>
  <si>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</si>
  <si>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</si>
  <si>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</si>
  <si>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</si>
  <si>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</si>
  <si>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</si>
  <si>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</si>
  <si>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</si>
  <si>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</si>
  <si>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</si>
  <si>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</si>
  <si>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</si>
  <si>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</si>
  <si>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</si>
  <si>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</si>
  <si>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</si>
  <si>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</si>
  <si>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</si>
  <si>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</si>
  <si>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</si>
  <si>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</si>
  <si>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</si>
  <si>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</si>
  <si>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</si>
  <si>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</si>
  <si>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</si>
  <si>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</si>
  <si>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</si>
  <si>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</si>
  <si>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</si>
  <si>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</si>
  <si>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</si>
  <si>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</si>
  <si>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</si>
  <si>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</si>
  <si>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</si>
  <si>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</si>
  <si>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</si>
  <si>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</si>
  <si>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</si>
  <si>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</si>
  <si>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</si>
  <si>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</si>
  <si>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</si>
  <si>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</si>
  <si>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</si>
  <si>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</si>
  <si>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</si>
  <si>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</si>
  <si>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</si>
  <si>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</si>
  <si>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</si>
  <si>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</si>
  <si>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</si>
  <si>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</si>
  <si>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</si>
  <si>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</si>
  <si>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</si>
  <si>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</si>
  <si>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</si>
  <si>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</si>
  <si>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</si>
  <si>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</si>
  <si>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</si>
  <si>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</si>
  <si>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</si>
  <si>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</si>
  <si>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</si>
  <si>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</si>
  <si>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</si>
  <si>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</si>
  <si>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</si>
  <si>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</si>
  <si>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</si>
  <si>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</si>
  <si>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</si>
  <si>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</si>
  <si>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</si>
  <si>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</si>
  <si>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</si>
  <si>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</si>
  <si>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</si>
  <si>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</si>
  <si>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</si>
  <si>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</si>
  <si>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</si>
  <si>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</si>
  <si>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</si>
  <si>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</si>
  <si>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</si>
  <si>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</si>
  <si>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</si>
  <si>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</si>
  <si>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</si>
  <si>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</si>
  <si>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</si>
  <si>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</si>
  <si>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</si>
  <si>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</si>
  <si>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</si>
  <si>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</si>
  <si>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</si>
  <si>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</si>
  <si>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</si>
  <si>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</si>
  <si>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</si>
  <si>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</si>
  <si>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</si>
  <si>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</si>
  <si>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</si>
  <si>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</si>
  <si>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</si>
  <si>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</si>
  <si>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</si>
  <si>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</si>
  <si>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</si>
  <si>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</si>
  <si>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</si>
  <si>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</si>
  <si>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</si>
  <si>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</si>
  <si>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</si>
  <si>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</si>
  <si>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</si>
  <si>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</si>
  <si>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</si>
  <si>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</si>
  <si>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</si>
  <si>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</si>
  <si>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</si>
  <si>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</si>
  <si>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</si>
  <si>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</si>
  <si>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</si>
  <si>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</si>
  <si>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</si>
  <si>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</si>
  <si>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</si>
  <si>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</si>
  <si>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</si>
  <si>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</si>
  <si>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</si>
  <si>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</si>
  <si>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</si>
  <si>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</si>
  <si>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</si>
  <si>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</si>
  <si>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</si>
  <si>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</si>
  <si>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</si>
  <si>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</si>
  <si>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</si>
  <si>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</si>
  <si>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</si>
  <si>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</si>
  <si>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</si>
  <si>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</si>
  <si>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</si>
  <si>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</si>
  <si>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</si>
  <si>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</si>
  <si>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</si>
  <si>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</si>
  <si>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</si>
  <si>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</si>
  <si>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</si>
  <si>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</si>
  <si>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</si>
  <si>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</si>
  <si>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</si>
  <si>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</si>
  <si>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</si>
  <si>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</si>
  <si>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</si>
  <si>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</si>
  <si>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</si>
  <si>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</si>
  <si>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</si>
  <si>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</si>
  <si>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</si>
  <si>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</si>
  <si>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</si>
  <si>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</si>
  <si>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</si>
  <si>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</si>
  <si>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29.11.2013 №22</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</si>
</sst>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5" xfId="0" applyFont="1" applyBorder="1" applyAlignment="1">
      <alignment horizontal="center" vertical="center" wrapText="1"/>
    </xf>
    <xf numFmtId="0" fontId="0" fillId="0" borderId="21" xfId="0" applyFont="1" applyBorder="1" applyAlignment="1">
      <alignment horizontal="center" vertical="center"/>
    </xf>
    <xf numFmtId="0" fontId="10" fillId="0" borderId="12"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63"/>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2"/>
      <c r="G1" s="162"/>
      <c r="H1" s="48"/>
      <c r="I1" s="48"/>
      <c r="J1" s="171" t="s">
        <v>137</v>
      </c>
      <c r="K1" s="171"/>
      <c r="L1" s="171"/>
      <c r="M1" s="171"/>
    </row>
    <row r="2" spans="1:13" ht="26.25">
      <c r="A2" s="47"/>
      <c r="B2" s="48"/>
      <c r="C2" s="48"/>
      <c r="D2" s="48"/>
      <c r="E2" s="48"/>
      <c r="F2" s="162"/>
      <c r="G2" s="162"/>
      <c r="H2" s="48"/>
      <c r="I2" s="48"/>
      <c r="J2" s="171" t="s">
        <v>174</v>
      </c>
      <c r="K2" s="171"/>
      <c r="L2" s="171"/>
      <c r="M2" s="171"/>
    </row>
    <row r="3" spans="1:13" ht="30" customHeight="1">
      <c r="A3" s="47"/>
      <c r="B3" s="48"/>
      <c r="C3" s="48"/>
      <c r="D3" s="48"/>
      <c r="E3" s="48"/>
      <c r="F3" s="162"/>
      <c r="G3" s="162"/>
      <c r="H3" s="48"/>
      <c r="I3" s="48"/>
      <c r="J3" s="174" t="s">
        <v>403</v>
      </c>
      <c r="K3" s="163"/>
      <c r="L3" s="163"/>
      <c r="M3" s="163"/>
    </row>
    <row r="4" spans="1:13" ht="32.25" customHeight="1">
      <c r="A4" s="164" t="s">
        <v>3</v>
      </c>
      <c r="B4" s="165"/>
      <c r="C4" s="165"/>
      <c r="D4" s="165"/>
      <c r="E4" s="165"/>
      <c r="F4" s="165"/>
      <c r="G4" s="165"/>
      <c r="H4" s="165"/>
      <c r="I4" s="165"/>
      <c r="J4" s="165"/>
      <c r="K4" s="165"/>
      <c r="L4" s="165"/>
      <c r="M4" s="166"/>
    </row>
    <row r="5" spans="1:13" ht="11.25" customHeight="1">
      <c r="A5" s="49"/>
      <c r="B5" s="50"/>
      <c r="C5" s="33"/>
      <c r="D5" s="33"/>
      <c r="E5" s="33"/>
      <c r="F5" s="33"/>
      <c r="G5" s="33"/>
      <c r="H5" s="33"/>
      <c r="I5" s="34"/>
      <c r="J5" s="34"/>
      <c r="K5" s="168" t="s">
        <v>253</v>
      </c>
      <c r="L5" s="168"/>
      <c r="M5" s="168"/>
    </row>
    <row r="6" spans="1:13" ht="48" customHeight="1">
      <c r="A6" s="91" t="s">
        <v>132</v>
      </c>
      <c r="B6" s="51" t="s">
        <v>193</v>
      </c>
      <c r="C6" s="167" t="s">
        <v>73</v>
      </c>
      <c r="D6" s="167"/>
      <c r="E6" s="167"/>
      <c r="F6" s="154" t="s">
        <v>74</v>
      </c>
      <c r="G6" s="170"/>
      <c r="H6" s="170"/>
      <c r="I6" s="170"/>
      <c r="J6" s="170"/>
      <c r="K6" s="170"/>
      <c r="L6" s="155"/>
      <c r="M6" s="159" t="s">
        <v>128</v>
      </c>
    </row>
    <row r="7" spans="1:13" ht="12.75" customHeight="1">
      <c r="A7" s="151" t="s">
        <v>133</v>
      </c>
      <c r="B7" s="156" t="s">
        <v>134</v>
      </c>
      <c r="C7" s="159" t="s">
        <v>75</v>
      </c>
      <c r="D7" s="154" t="s">
        <v>195</v>
      </c>
      <c r="E7" s="155"/>
      <c r="F7" s="159" t="s">
        <v>75</v>
      </c>
      <c r="G7" s="149" t="s">
        <v>194</v>
      </c>
      <c r="H7" s="154" t="s">
        <v>195</v>
      </c>
      <c r="I7" s="155"/>
      <c r="J7" s="149" t="s">
        <v>198</v>
      </c>
      <c r="K7" s="172" t="s">
        <v>195</v>
      </c>
      <c r="L7" s="173"/>
      <c r="M7" s="160"/>
    </row>
    <row r="8" spans="1:13" ht="12.75">
      <c r="A8" s="152"/>
      <c r="B8" s="157"/>
      <c r="C8" s="160"/>
      <c r="D8" s="149" t="s">
        <v>196</v>
      </c>
      <c r="E8" s="149" t="s">
        <v>197</v>
      </c>
      <c r="F8" s="160"/>
      <c r="G8" s="169"/>
      <c r="H8" s="149" t="s">
        <v>196</v>
      </c>
      <c r="I8" s="149" t="s">
        <v>197</v>
      </c>
      <c r="J8" s="169"/>
      <c r="K8" s="157" t="s">
        <v>282</v>
      </c>
      <c r="L8" s="96" t="s">
        <v>195</v>
      </c>
      <c r="M8" s="160"/>
    </row>
    <row r="9" spans="1:13" ht="70.5" customHeight="1">
      <c r="A9" s="153"/>
      <c r="B9" s="158"/>
      <c r="C9" s="161"/>
      <c r="D9" s="150"/>
      <c r="E9" s="150"/>
      <c r="F9" s="161"/>
      <c r="G9" s="150"/>
      <c r="H9" s="150"/>
      <c r="I9" s="150"/>
      <c r="J9" s="150"/>
      <c r="K9" s="158"/>
      <c r="L9" s="92" t="s">
        <v>283</v>
      </c>
      <c r="M9" s="161"/>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353</v>
      </c>
      <c r="B11" s="117" t="s">
        <v>339</v>
      </c>
      <c r="C11" s="53">
        <f>C12+C15+C18+C26+C28+C24</f>
        <v>18120232</v>
      </c>
      <c r="D11" s="53">
        <f>D12+D15+D18+D26+D28+D24</f>
        <v>8189236</v>
      </c>
      <c r="E11" s="53">
        <f>E12+E15+E18+E26+E28+E24</f>
        <v>1520445</v>
      </c>
      <c r="F11" s="53">
        <f>G11+J11</f>
        <v>1819994</v>
      </c>
      <c r="G11" s="53">
        <f aca="true" t="shared" si="0" ref="G11:L11">G12+G15+G18+G26+G28+G24</f>
        <v>311054</v>
      </c>
      <c r="H11" s="53">
        <f t="shared" si="0"/>
        <v>0</v>
      </c>
      <c r="I11" s="53">
        <f t="shared" si="0"/>
        <v>0</v>
      </c>
      <c r="J11" s="53">
        <f t="shared" si="0"/>
        <v>1508940</v>
      </c>
      <c r="K11" s="53">
        <f t="shared" si="0"/>
        <v>1508940</v>
      </c>
      <c r="L11" s="53">
        <f t="shared" si="0"/>
        <v>0</v>
      </c>
      <c r="M11" s="54">
        <f aca="true" t="shared" si="1" ref="M11:M38">C11+F11</f>
        <v>19940226</v>
      </c>
      <c r="N11" s="55"/>
      <c r="O11" s="55"/>
    </row>
    <row r="12" spans="1:15" s="59" customFormat="1" ht="12.75">
      <c r="A12" s="43" t="s">
        <v>199</v>
      </c>
      <c r="B12" s="44" t="s">
        <v>200</v>
      </c>
      <c r="C12" s="37">
        <f>C13</f>
        <v>13517294</v>
      </c>
      <c r="D12" s="37">
        <f>D13</f>
        <v>6611923</v>
      </c>
      <c r="E12" s="37">
        <f>E13</f>
        <v>1514556</v>
      </c>
      <c r="F12" s="38">
        <f>G12+J12</f>
        <v>667859</v>
      </c>
      <c r="G12" s="37">
        <f aca="true" t="shared" si="2" ref="G12:L12">G13</f>
        <v>59513</v>
      </c>
      <c r="H12" s="37">
        <f t="shared" si="2"/>
        <v>0</v>
      </c>
      <c r="I12" s="37">
        <f t="shared" si="2"/>
        <v>0</v>
      </c>
      <c r="J12" s="37">
        <f t="shared" si="2"/>
        <v>608346</v>
      </c>
      <c r="K12" s="37">
        <f t="shared" si="2"/>
        <v>608346</v>
      </c>
      <c r="L12" s="37">
        <f t="shared" si="2"/>
        <v>0</v>
      </c>
      <c r="M12" s="57">
        <f t="shared" si="1"/>
        <v>14185153</v>
      </c>
      <c r="N12" s="55"/>
      <c r="O12" s="58"/>
    </row>
    <row r="13" spans="1:15" ht="12.75">
      <c r="A13" s="40" t="s">
        <v>76</v>
      </c>
      <c r="B13" s="60" t="s">
        <v>77</v>
      </c>
      <c r="C13" s="38">
        <f>11631552+999977+607705+14600+8720-20577+68000-22940+12120-12647+81907+68500-11672-40000+243292-98-28200+37055-120000</f>
        <v>13517294</v>
      </c>
      <c r="D13" s="38">
        <f>5975934+733659+29078-47180+8720-33840-22940+12120-9279-40000-17500+23151</f>
        <v>6611923</v>
      </c>
      <c r="E13" s="38">
        <f>1271264+243292</f>
        <v>1514556</v>
      </c>
      <c r="F13" s="38">
        <f>G13+J13</f>
        <v>667859</v>
      </c>
      <c r="G13" s="38">
        <v>59513</v>
      </c>
      <c r="H13" s="38"/>
      <c r="I13" s="38"/>
      <c r="J13" s="81">
        <f>K13</f>
        <v>608346</v>
      </c>
      <c r="K13" s="81">
        <f>231245+400000+91874+213812+41895-370480</f>
        <v>608346</v>
      </c>
      <c r="L13" s="81"/>
      <c r="M13" s="57">
        <f t="shared" si="1"/>
        <v>14185153</v>
      </c>
      <c r="N13" s="55"/>
      <c r="O13" s="61"/>
    </row>
    <row r="14" spans="1:15" ht="77.25" customHeight="1" hidden="1">
      <c r="A14" s="40"/>
      <c r="B14" s="100" t="s">
        <v>302</v>
      </c>
      <c r="C14" s="38"/>
      <c r="D14" s="38"/>
      <c r="E14" s="38"/>
      <c r="F14" s="38">
        <f aca="true" t="shared" si="3" ref="F14:F35">G14+J14</f>
        <v>0</v>
      </c>
      <c r="G14" s="38"/>
      <c r="H14" s="38"/>
      <c r="I14" s="38"/>
      <c r="J14" s="81"/>
      <c r="K14" s="81"/>
      <c r="L14" s="81"/>
      <c r="M14" s="57">
        <f t="shared" si="1"/>
        <v>0</v>
      </c>
      <c r="N14" s="55"/>
      <c r="O14" s="61"/>
    </row>
    <row r="15" spans="1:15" ht="12.75">
      <c r="A15" s="40" t="s">
        <v>201</v>
      </c>
      <c r="B15" s="36" t="s">
        <v>202</v>
      </c>
      <c r="C15" s="38">
        <f>C16</f>
        <v>568541</v>
      </c>
      <c r="D15" s="38">
        <f aca="true" t="shared" si="4" ref="D15:L15">D16</f>
        <v>0</v>
      </c>
      <c r="E15" s="38">
        <f t="shared" si="4"/>
        <v>0</v>
      </c>
      <c r="F15" s="38">
        <f t="shared" si="4"/>
        <v>61850</v>
      </c>
      <c r="G15" s="38">
        <f t="shared" si="4"/>
        <v>0</v>
      </c>
      <c r="H15" s="38">
        <f t="shared" si="4"/>
        <v>0</v>
      </c>
      <c r="I15" s="38">
        <f t="shared" si="4"/>
        <v>0</v>
      </c>
      <c r="J15" s="81">
        <f t="shared" si="4"/>
        <v>61850</v>
      </c>
      <c r="K15" s="81">
        <f t="shared" si="4"/>
        <v>61850</v>
      </c>
      <c r="L15" s="81">
        <f t="shared" si="4"/>
        <v>0</v>
      </c>
      <c r="M15" s="57">
        <f t="shared" si="1"/>
        <v>630391</v>
      </c>
      <c r="N15" s="55"/>
      <c r="O15" s="61"/>
    </row>
    <row r="16" spans="1:15" ht="24.75" customHeight="1">
      <c r="A16" s="40">
        <v>120201</v>
      </c>
      <c r="B16" s="62" t="s">
        <v>280</v>
      </c>
      <c r="C16" s="38">
        <f>500000+43041+25500</f>
        <v>568541</v>
      </c>
      <c r="D16" s="38">
        <f>D17</f>
        <v>0</v>
      </c>
      <c r="E16" s="38">
        <f>E17</f>
        <v>0</v>
      </c>
      <c r="F16" s="38">
        <f t="shared" si="3"/>
        <v>61850</v>
      </c>
      <c r="G16" s="38">
        <f>G17</f>
        <v>0</v>
      </c>
      <c r="H16" s="38">
        <f>H17</f>
        <v>0</v>
      </c>
      <c r="I16" s="38">
        <f>I17</f>
        <v>0</v>
      </c>
      <c r="J16" s="38">
        <f>J17</f>
        <v>61850</v>
      </c>
      <c r="K16" s="38">
        <f>K17</f>
        <v>61850</v>
      </c>
      <c r="L16" s="38"/>
      <c r="M16" s="57">
        <f>C16+F16</f>
        <v>630391</v>
      </c>
      <c r="N16" s="55"/>
      <c r="O16" s="61"/>
    </row>
    <row r="17" spans="1:15" ht="41.25" customHeight="1" hidden="1">
      <c r="A17" s="40"/>
      <c r="B17" s="78" t="s">
        <v>31</v>
      </c>
      <c r="C17" s="38"/>
      <c r="D17" s="38"/>
      <c r="E17" s="38"/>
      <c r="F17" s="38">
        <f t="shared" si="3"/>
        <v>61850</v>
      </c>
      <c r="G17" s="38"/>
      <c r="H17" s="38"/>
      <c r="I17" s="38"/>
      <c r="J17" s="38">
        <f>K17</f>
        <v>61850</v>
      </c>
      <c r="K17" s="38">
        <f>(50000)+(5800)+(3000)+(3050)</f>
        <v>61850</v>
      </c>
      <c r="L17" s="38"/>
      <c r="M17" s="57">
        <f aca="true" t="shared" si="5" ref="M17:M25">C17+F17</f>
        <v>61850</v>
      </c>
      <c r="N17" s="55"/>
      <c r="O17" s="61"/>
    </row>
    <row r="18" spans="1:15" ht="12.75">
      <c r="A18" s="40" t="s">
        <v>203</v>
      </c>
      <c r="B18" s="62" t="s">
        <v>110</v>
      </c>
      <c r="C18" s="38"/>
      <c r="D18" s="38"/>
      <c r="E18" s="38"/>
      <c r="F18" s="38">
        <f t="shared" si="3"/>
        <v>838744</v>
      </c>
      <c r="G18" s="38"/>
      <c r="H18" s="38"/>
      <c r="I18" s="38"/>
      <c r="J18" s="38">
        <f>J19+J21+J23</f>
        <v>838744</v>
      </c>
      <c r="K18" s="38">
        <f>K19+K21+K23</f>
        <v>838744</v>
      </c>
      <c r="L18" s="38">
        <f>L19</f>
        <v>0</v>
      </c>
      <c r="M18" s="57">
        <f t="shared" si="5"/>
        <v>838744</v>
      </c>
      <c r="N18" s="55"/>
      <c r="O18" s="61"/>
    </row>
    <row r="19" spans="1:15" ht="12.75">
      <c r="A19" s="40" t="s">
        <v>171</v>
      </c>
      <c r="B19" s="60" t="s">
        <v>172</v>
      </c>
      <c r="C19" s="38"/>
      <c r="D19" s="38"/>
      <c r="E19" s="38"/>
      <c r="F19" s="38">
        <f t="shared" si="3"/>
        <v>785192</v>
      </c>
      <c r="G19" s="38"/>
      <c r="H19" s="38"/>
      <c r="I19" s="38"/>
      <c r="J19" s="38">
        <f>K19</f>
        <v>785192</v>
      </c>
      <c r="K19" s="145">
        <f>2155588+338049-1223300-485145</f>
        <v>785192</v>
      </c>
      <c r="L19" s="38">
        <f>L20</f>
        <v>0</v>
      </c>
      <c r="M19" s="57">
        <f t="shared" si="5"/>
        <v>785192</v>
      </c>
      <c r="N19" s="55"/>
      <c r="O19" s="61"/>
    </row>
    <row r="20" spans="1:15" ht="26.25" customHeight="1" hidden="1">
      <c r="A20" s="40"/>
      <c r="B20" s="73" t="s">
        <v>346</v>
      </c>
      <c r="C20" s="38"/>
      <c r="D20" s="38"/>
      <c r="E20" s="38"/>
      <c r="F20" s="38">
        <f t="shared" si="3"/>
        <v>0</v>
      </c>
      <c r="G20" s="38"/>
      <c r="H20" s="38"/>
      <c r="I20" s="38"/>
      <c r="J20" s="38">
        <f>K20</f>
        <v>0</v>
      </c>
      <c r="K20" s="38">
        <f>L20</f>
        <v>0</v>
      </c>
      <c r="L20" s="38"/>
      <c r="M20" s="57">
        <f t="shared" si="5"/>
        <v>0</v>
      </c>
      <c r="N20" s="55"/>
      <c r="O20" s="61"/>
    </row>
    <row r="21" spans="1:15" ht="178.5">
      <c r="A21" s="40" t="s">
        <v>265</v>
      </c>
      <c r="B21" s="135" t="s">
        <v>224</v>
      </c>
      <c r="C21" s="38"/>
      <c r="D21" s="38"/>
      <c r="E21" s="38"/>
      <c r="F21" s="38">
        <f t="shared" si="3"/>
        <v>53552</v>
      </c>
      <c r="G21" s="38"/>
      <c r="H21" s="38"/>
      <c r="I21" s="38"/>
      <c r="J21" s="81">
        <f>K21</f>
        <v>53552</v>
      </c>
      <c r="K21" s="81">
        <v>53552</v>
      </c>
      <c r="L21" s="141"/>
      <c r="M21" s="57">
        <f t="shared" si="5"/>
        <v>53552</v>
      </c>
      <c r="N21" s="55"/>
      <c r="O21" s="61"/>
    </row>
    <row r="22" spans="1:15" ht="35.25" customHeight="1" hidden="1">
      <c r="A22" s="40"/>
      <c r="B22" s="36" t="s">
        <v>219</v>
      </c>
      <c r="C22" s="38"/>
      <c r="D22" s="38"/>
      <c r="E22" s="38"/>
      <c r="F22" s="38">
        <f t="shared" si="3"/>
        <v>0</v>
      </c>
      <c r="G22" s="38"/>
      <c r="H22" s="38"/>
      <c r="I22" s="38"/>
      <c r="J22" s="38"/>
      <c r="K22" s="38"/>
      <c r="L22" s="38"/>
      <c r="M22" s="57">
        <f t="shared" si="5"/>
        <v>0</v>
      </c>
      <c r="N22" s="55"/>
      <c r="O22" s="61"/>
    </row>
    <row r="23" spans="1:15" ht="38.25" hidden="1">
      <c r="A23" s="79" t="s">
        <v>309</v>
      </c>
      <c r="B23" s="73" t="s">
        <v>310</v>
      </c>
      <c r="C23" s="38"/>
      <c r="D23" s="38"/>
      <c r="E23" s="38"/>
      <c r="F23" s="38">
        <f t="shared" si="3"/>
        <v>0</v>
      </c>
      <c r="G23" s="38"/>
      <c r="H23" s="38"/>
      <c r="I23" s="38"/>
      <c r="J23" s="38"/>
      <c r="K23" s="38"/>
      <c r="L23" s="38"/>
      <c r="M23" s="57">
        <f t="shared" si="5"/>
        <v>0</v>
      </c>
      <c r="N23" s="55"/>
      <c r="O23" s="61"/>
    </row>
    <row r="24" spans="1:15" ht="25.5" hidden="1">
      <c r="A24" s="40" t="s">
        <v>214</v>
      </c>
      <c r="B24" s="60" t="s">
        <v>215</v>
      </c>
      <c r="C24" s="38"/>
      <c r="D24" s="38"/>
      <c r="E24" s="38"/>
      <c r="F24" s="38">
        <f t="shared" si="3"/>
        <v>0</v>
      </c>
      <c r="G24" s="38"/>
      <c r="H24" s="38"/>
      <c r="I24" s="38"/>
      <c r="J24" s="38">
        <f>J25</f>
        <v>0</v>
      </c>
      <c r="K24" s="38">
        <f>K25</f>
        <v>0</v>
      </c>
      <c r="L24" s="38"/>
      <c r="M24" s="57">
        <f t="shared" si="5"/>
        <v>0</v>
      </c>
      <c r="N24" s="55"/>
      <c r="O24" s="61"/>
    </row>
    <row r="25" spans="1:15" ht="38.25" hidden="1">
      <c r="A25" s="40" t="s">
        <v>188</v>
      </c>
      <c r="B25" s="36" t="s">
        <v>189</v>
      </c>
      <c r="C25" s="38"/>
      <c r="D25" s="38"/>
      <c r="E25" s="38"/>
      <c r="F25" s="38">
        <f t="shared" si="3"/>
        <v>0</v>
      </c>
      <c r="G25" s="38"/>
      <c r="H25" s="38"/>
      <c r="I25" s="38"/>
      <c r="J25" s="38"/>
      <c r="K25" s="38">
        <f>J25</f>
        <v>0</v>
      </c>
      <c r="L25" s="38"/>
      <c r="M25" s="57">
        <f t="shared" si="5"/>
        <v>0</v>
      </c>
      <c r="N25" s="55"/>
      <c r="O25" s="61"/>
    </row>
    <row r="26" spans="1:15" ht="14.25" customHeight="1">
      <c r="A26" s="40" t="s">
        <v>206</v>
      </c>
      <c r="B26" s="36" t="s">
        <v>207</v>
      </c>
      <c r="C26" s="38"/>
      <c r="D26" s="38"/>
      <c r="E26" s="38"/>
      <c r="F26" s="38">
        <f t="shared" si="3"/>
        <v>251541</v>
      </c>
      <c r="G26" s="38">
        <f>G27</f>
        <v>251541</v>
      </c>
      <c r="H26" s="38"/>
      <c r="I26" s="38"/>
      <c r="J26" s="38">
        <f>J27</f>
        <v>0</v>
      </c>
      <c r="K26" s="38"/>
      <c r="L26" s="38"/>
      <c r="M26" s="57">
        <f t="shared" si="1"/>
        <v>251541</v>
      </c>
      <c r="N26" s="55"/>
      <c r="O26" s="61"/>
    </row>
    <row r="27" spans="1:15" ht="81" customHeight="1">
      <c r="A27" s="40" t="s">
        <v>114</v>
      </c>
      <c r="B27" s="78" t="s">
        <v>294</v>
      </c>
      <c r="C27" s="38"/>
      <c r="D27" s="38"/>
      <c r="E27" s="38"/>
      <c r="F27" s="38">
        <f>G27+J27</f>
        <v>251541</v>
      </c>
      <c r="G27" s="81">
        <f>146000-16290+91131+20000-51861+12561+50000</f>
        <v>251541</v>
      </c>
      <c r="H27" s="38"/>
      <c r="I27" s="38"/>
      <c r="J27" s="38"/>
      <c r="K27" s="38"/>
      <c r="L27" s="38"/>
      <c r="M27" s="57">
        <f t="shared" si="1"/>
        <v>251541</v>
      </c>
      <c r="N27" s="55"/>
      <c r="O27" s="61"/>
    </row>
    <row r="28" spans="1:15" ht="25.5">
      <c r="A28" s="40" t="s">
        <v>208</v>
      </c>
      <c r="B28" s="62" t="s">
        <v>209</v>
      </c>
      <c r="C28" s="38">
        <f aca="true" t="shared" si="6" ref="C28:L28">C31+C29</f>
        <v>4034397</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4034397</v>
      </c>
      <c r="N28" s="55"/>
      <c r="O28" s="61"/>
    </row>
    <row r="29" spans="1:15" ht="51" hidden="1">
      <c r="A29" s="79" t="s">
        <v>135</v>
      </c>
      <c r="B29" s="78" t="s">
        <v>136</v>
      </c>
      <c r="C29" s="38"/>
      <c r="D29" s="38"/>
      <c r="E29" s="38"/>
      <c r="F29" s="38"/>
      <c r="G29" s="38"/>
      <c r="H29" s="38"/>
      <c r="I29" s="38"/>
      <c r="J29" s="38"/>
      <c r="K29" s="38"/>
      <c r="L29" s="38"/>
      <c r="M29" s="57">
        <f t="shared" si="1"/>
        <v>0</v>
      </c>
      <c r="N29" s="55"/>
      <c r="O29" s="61"/>
    </row>
    <row r="30" spans="1:15" ht="25.5" hidden="1">
      <c r="A30" s="40"/>
      <c r="B30" s="36" t="s">
        <v>219</v>
      </c>
      <c r="C30" s="38"/>
      <c r="D30" s="38">
        <f>D29</f>
        <v>0</v>
      </c>
      <c r="E30" s="38">
        <f>E29</f>
        <v>0</v>
      </c>
      <c r="F30" s="38"/>
      <c r="G30" s="38"/>
      <c r="H30" s="38"/>
      <c r="I30" s="38"/>
      <c r="J30" s="38"/>
      <c r="K30" s="38"/>
      <c r="L30" s="38"/>
      <c r="M30" s="57">
        <f t="shared" si="1"/>
        <v>0</v>
      </c>
      <c r="N30" s="55"/>
      <c r="O30" s="61"/>
    </row>
    <row r="31" spans="1:15" ht="12.75">
      <c r="A31" s="40" t="s">
        <v>115</v>
      </c>
      <c r="B31" s="36" t="s">
        <v>149</v>
      </c>
      <c r="C31" s="38">
        <f>SUM(C32:C38)</f>
        <v>4034397</v>
      </c>
      <c r="D31" s="38">
        <f>SUM(D32:D38)</f>
        <v>1577313</v>
      </c>
      <c r="E31" s="38">
        <f>SUM(E32:E38)</f>
        <v>5889</v>
      </c>
      <c r="F31" s="38">
        <f t="shared" si="3"/>
        <v>0</v>
      </c>
      <c r="G31" s="38">
        <f aca="true" t="shared" si="7" ref="G31:L31">SUM(G32:G38)</f>
        <v>0</v>
      </c>
      <c r="H31" s="38">
        <f t="shared" si="7"/>
        <v>0</v>
      </c>
      <c r="I31" s="38">
        <f t="shared" si="7"/>
        <v>0</v>
      </c>
      <c r="J31" s="38">
        <f t="shared" si="7"/>
        <v>0</v>
      </c>
      <c r="K31" s="38">
        <f t="shared" si="7"/>
        <v>0</v>
      </c>
      <c r="L31" s="38">
        <f t="shared" si="7"/>
        <v>0</v>
      </c>
      <c r="M31" s="57">
        <f t="shared" si="1"/>
        <v>4034397</v>
      </c>
      <c r="N31" s="55"/>
      <c r="O31" s="61"/>
    </row>
    <row r="32" spans="1:15" ht="12.75" hidden="1">
      <c r="A32" s="40"/>
      <c r="B32" s="73" t="s">
        <v>22</v>
      </c>
      <c r="C32" s="38">
        <v>120000</v>
      </c>
      <c r="D32" s="38"/>
      <c r="E32" s="38"/>
      <c r="F32" s="38">
        <f t="shared" si="3"/>
        <v>0</v>
      </c>
      <c r="G32" s="38"/>
      <c r="H32" s="38"/>
      <c r="I32" s="38"/>
      <c r="J32" s="38">
        <f>36104-36104</f>
        <v>0</v>
      </c>
      <c r="K32" s="38">
        <f>J32</f>
        <v>0</v>
      </c>
      <c r="L32" s="38">
        <f>K32</f>
        <v>0</v>
      </c>
      <c r="M32" s="57">
        <f t="shared" si="1"/>
        <v>120000</v>
      </c>
      <c r="N32" s="55"/>
      <c r="O32" s="61"/>
    </row>
    <row r="33" spans="1:15" ht="51" hidden="1">
      <c r="A33" s="40"/>
      <c r="B33" s="73" t="s">
        <v>346</v>
      </c>
      <c r="C33" s="38">
        <f>349660+183493-165000</f>
        <v>368153</v>
      </c>
      <c r="D33" s="38"/>
      <c r="E33" s="38"/>
      <c r="F33" s="38">
        <f t="shared" si="3"/>
        <v>0</v>
      </c>
      <c r="G33" s="38"/>
      <c r="H33" s="38"/>
      <c r="I33" s="38"/>
      <c r="J33" s="38">
        <f>K33</f>
        <v>0</v>
      </c>
      <c r="K33" s="38">
        <f>L33</f>
        <v>0</v>
      </c>
      <c r="L33" s="38"/>
      <c r="M33" s="57">
        <f t="shared" si="1"/>
        <v>368153</v>
      </c>
      <c r="N33" s="55"/>
      <c r="O33" s="61"/>
    </row>
    <row r="34" spans="1:15" ht="38.25" customHeight="1" hidden="1">
      <c r="A34" s="40"/>
      <c r="B34" s="73" t="s">
        <v>382</v>
      </c>
      <c r="C34" s="38">
        <v>304457</v>
      </c>
      <c r="D34" s="38"/>
      <c r="E34" s="38"/>
      <c r="F34" s="38">
        <f t="shared" si="3"/>
        <v>0</v>
      </c>
      <c r="G34" s="38"/>
      <c r="H34" s="38"/>
      <c r="I34" s="38"/>
      <c r="J34" s="38"/>
      <c r="K34" s="38"/>
      <c r="L34" s="38"/>
      <c r="M34" s="57">
        <f t="shared" si="1"/>
        <v>304457</v>
      </c>
      <c r="N34" s="55"/>
      <c r="O34" s="61"/>
    </row>
    <row r="35" spans="1:15" ht="51.75" customHeight="1" hidden="1">
      <c r="A35" s="40"/>
      <c r="B35" s="135" t="s">
        <v>352</v>
      </c>
      <c r="C35" s="81">
        <f>3166800+63638</f>
        <v>3230438</v>
      </c>
      <c r="D35" s="38">
        <v>1577313</v>
      </c>
      <c r="E35" s="38">
        <v>5889</v>
      </c>
      <c r="F35" s="38">
        <f t="shared" si="3"/>
        <v>0</v>
      </c>
      <c r="G35" s="38"/>
      <c r="H35" s="38"/>
      <c r="I35" s="38"/>
      <c r="J35" s="38"/>
      <c r="K35" s="38"/>
      <c r="L35" s="38"/>
      <c r="M35" s="57">
        <f t="shared" si="1"/>
        <v>3230438</v>
      </c>
      <c r="N35" s="55"/>
      <c r="O35" s="61"/>
    </row>
    <row r="36" spans="1:15" ht="39.75" customHeight="1" hidden="1">
      <c r="A36" s="40"/>
      <c r="B36" s="73" t="s">
        <v>391</v>
      </c>
      <c r="C36" s="38">
        <f>30000-30000</f>
        <v>0</v>
      </c>
      <c r="D36" s="38"/>
      <c r="E36" s="38"/>
      <c r="F36" s="38"/>
      <c r="G36" s="38"/>
      <c r="H36" s="38"/>
      <c r="I36" s="38"/>
      <c r="J36" s="38"/>
      <c r="K36" s="38"/>
      <c r="L36" s="38"/>
      <c r="M36" s="57">
        <f t="shared" si="1"/>
        <v>0</v>
      </c>
      <c r="N36" s="55"/>
      <c r="O36" s="61"/>
    </row>
    <row r="37" spans="1:15" ht="25.5" hidden="1">
      <c r="A37" s="40"/>
      <c r="B37" s="78" t="s">
        <v>245</v>
      </c>
      <c r="C37" s="38">
        <f>5400000-900000-310000-665867-1262000-34000-505000-813850-161000-62710-10000-15000-70000-22660-57500-19900-121262-100500-5000-11500-7000-3000-83120-80133-2000-34900-1600-6800-500-2000-5000-10000-10000</f>
        <v>6198</v>
      </c>
      <c r="D37" s="38"/>
      <c r="E37" s="38"/>
      <c r="F37" s="38"/>
      <c r="G37" s="38"/>
      <c r="H37" s="38"/>
      <c r="I37" s="38"/>
      <c r="J37" s="38"/>
      <c r="K37" s="38"/>
      <c r="L37" s="38"/>
      <c r="M37" s="57">
        <f t="shared" si="1"/>
        <v>6198</v>
      </c>
      <c r="N37" s="55"/>
      <c r="O37" s="61"/>
    </row>
    <row r="38" spans="1:15" ht="29.25" customHeight="1" hidden="1">
      <c r="A38" s="40"/>
      <c r="B38" s="73" t="s">
        <v>24</v>
      </c>
      <c r="C38" s="38">
        <v>5151</v>
      </c>
      <c r="D38" s="38"/>
      <c r="E38" s="38"/>
      <c r="F38" s="38"/>
      <c r="G38" s="38"/>
      <c r="H38" s="38"/>
      <c r="I38" s="38"/>
      <c r="J38" s="38"/>
      <c r="K38" s="38"/>
      <c r="L38" s="38"/>
      <c r="M38" s="57">
        <f t="shared" si="1"/>
        <v>5151</v>
      </c>
      <c r="N38" s="55"/>
      <c r="O38" s="61"/>
    </row>
    <row r="39" spans="1:15" s="56" customFormat="1" ht="41.25" customHeight="1">
      <c r="A39" s="106" t="s">
        <v>362</v>
      </c>
      <c r="B39" s="107" t="s">
        <v>312</v>
      </c>
      <c r="C39" s="53">
        <f aca="true" t="shared" si="8" ref="C39:L39">C40+C42+C59+C64+C72+C77+C81</f>
        <v>812313334</v>
      </c>
      <c r="D39" s="53">
        <f t="shared" si="8"/>
        <v>463207213</v>
      </c>
      <c r="E39" s="53">
        <f t="shared" si="8"/>
        <v>117294928</v>
      </c>
      <c r="F39" s="53">
        <f t="shared" si="8"/>
        <v>58347180</v>
      </c>
      <c r="G39" s="53">
        <f t="shared" si="8"/>
        <v>30448560</v>
      </c>
      <c r="H39" s="53">
        <f t="shared" si="8"/>
        <v>6490792</v>
      </c>
      <c r="I39" s="53">
        <f t="shared" si="8"/>
        <v>360753</v>
      </c>
      <c r="J39" s="53">
        <f t="shared" si="8"/>
        <v>27898620</v>
      </c>
      <c r="K39" s="53">
        <f t="shared" si="8"/>
        <v>26997420</v>
      </c>
      <c r="L39" s="53">
        <f t="shared" si="8"/>
        <v>5469422</v>
      </c>
      <c r="M39" s="54">
        <f>C39+F39</f>
        <v>870660514</v>
      </c>
      <c r="N39" s="55"/>
      <c r="O39" s="55"/>
    </row>
    <row r="40" spans="1:15" s="59" customFormat="1" ht="12.75">
      <c r="A40" s="43" t="s">
        <v>199</v>
      </c>
      <c r="B40" s="44" t="s">
        <v>200</v>
      </c>
      <c r="C40" s="37">
        <f>C41</f>
        <v>4308795</v>
      </c>
      <c r="D40" s="37">
        <f>D41</f>
        <v>2851422</v>
      </c>
      <c r="E40" s="37">
        <f>E41</f>
        <v>235991</v>
      </c>
      <c r="F40" s="38">
        <f aca="true" t="shared" si="9" ref="F40:F81">G40+J40</f>
        <v>0</v>
      </c>
      <c r="G40" s="37"/>
      <c r="H40" s="37"/>
      <c r="I40" s="37"/>
      <c r="J40" s="37"/>
      <c r="K40" s="37"/>
      <c r="L40" s="37"/>
      <c r="M40" s="57">
        <f aca="true" t="shared" si="10" ref="M40:M59">C40+F40</f>
        <v>4308795</v>
      </c>
      <c r="N40" s="55"/>
      <c r="O40" s="58"/>
    </row>
    <row r="41" spans="1:15" ht="12.75">
      <c r="A41" s="40" t="s">
        <v>76</v>
      </c>
      <c r="B41" s="60" t="s">
        <v>77</v>
      </c>
      <c r="C41" s="38">
        <f>3990746+74539+1250+66750+34839-12930+77688+6507-250+49300+20356</f>
        <v>4308795</v>
      </c>
      <c r="D41" s="38">
        <f>2756242+50990-12930+4774+38800+13546</f>
        <v>2851422</v>
      </c>
      <c r="E41" s="38">
        <f>152956+34839+48196</f>
        <v>235991</v>
      </c>
      <c r="F41" s="38">
        <f t="shared" si="9"/>
        <v>0</v>
      </c>
      <c r="G41" s="38"/>
      <c r="H41" s="38"/>
      <c r="I41" s="38"/>
      <c r="J41" s="38"/>
      <c r="K41" s="38"/>
      <c r="L41" s="38"/>
      <c r="M41" s="57">
        <f t="shared" si="10"/>
        <v>4308795</v>
      </c>
      <c r="N41" s="55"/>
      <c r="O41" s="61"/>
    </row>
    <row r="42" spans="1:15" ht="12.75">
      <c r="A42" s="40" t="s">
        <v>78</v>
      </c>
      <c r="B42" s="60" t="s">
        <v>79</v>
      </c>
      <c r="C42" s="38">
        <f>SUM(C43:C57)</f>
        <v>777912779</v>
      </c>
      <c r="D42" s="38">
        <f>SUM(D43:D57)</f>
        <v>446245073</v>
      </c>
      <c r="E42" s="38">
        <f>SUM(E43:E57)</f>
        <v>114561298</v>
      </c>
      <c r="F42" s="38">
        <f aca="true" t="shared" si="11" ref="F42:L42">F43+F45+F47+F48+F49+F51+F52+F53+F54+F55+F56</f>
        <v>38497640</v>
      </c>
      <c r="G42" s="38">
        <f t="shared" si="11"/>
        <v>29254181</v>
      </c>
      <c r="H42" s="38">
        <f t="shared" si="11"/>
        <v>6210129</v>
      </c>
      <c r="I42" s="38">
        <f t="shared" si="11"/>
        <v>280347</v>
      </c>
      <c r="J42" s="38">
        <f>J43+J45+J47+J48+J49+J51+J52+J53+J54+J55+J56</f>
        <v>9243459</v>
      </c>
      <c r="K42" s="38">
        <f>K43+K45+K47+K48+K49+K51+K52+K53+K54+K55+K56</f>
        <v>8802344</v>
      </c>
      <c r="L42" s="38">
        <f t="shared" si="11"/>
        <v>217422</v>
      </c>
      <c r="M42" s="57">
        <f t="shared" si="10"/>
        <v>816410419</v>
      </c>
      <c r="N42" s="55"/>
      <c r="O42" s="61"/>
    </row>
    <row r="43" spans="1:15" ht="12.75">
      <c r="A43" s="40" t="s">
        <v>121</v>
      </c>
      <c r="B43" s="66" t="s">
        <v>118</v>
      </c>
      <c r="C43" s="38">
        <f>205406548+905269+(45000)+(20367)+(7000)+(5000)+(20000)+(23000)+1091+(3000)+663000+580828+(4000)+134145+(10000)+3479000+2801192-983344-66579+(3000)+(16900)-100000+(2500)-47937-(1900)+1300000+1081497-100000-512310</f>
        <v>214700267</v>
      </c>
      <c r="D43" s="38">
        <f>107956199+2556200+1640469-363422+954900+300661+1968323</f>
        <v>115013330</v>
      </c>
      <c r="E43" s="38">
        <f>37028284-1000000+515356-648830+817778</f>
        <v>36712588</v>
      </c>
      <c r="F43" s="38">
        <f>G43+J43</f>
        <v>16763296</v>
      </c>
      <c r="G43" s="38">
        <v>13995050</v>
      </c>
      <c r="H43" s="38">
        <v>127616</v>
      </c>
      <c r="I43" s="38">
        <v>12370</v>
      </c>
      <c r="J43" s="38">
        <f>K43</f>
        <v>2768246</v>
      </c>
      <c r="K43" s="81">
        <f>1452645-123+170836+(14000)+156943+(5000)+(100500)+(128000)+(17000)+(38000)+(73000)+(10000)+(5000)+(10000)+990+(5000)-(5000)+(5000)+(15000)+280000+(25000)+(20500)+21000+(3050)+(23000)+(9310)+1000+(32200)+(14000)+(15000)-(1900)+(1600)+(12400)+(112)+(15238)+(8547)+(25654)+(2000)+50000+(3800)+(4944)</f>
        <v>2768246</v>
      </c>
      <c r="L43" s="38">
        <f>(5000)+(17000)+(10000)+(10000)-(5000)+(14000)+(15000)+(1600)+(112)+(2000)</f>
        <v>69712</v>
      </c>
      <c r="M43" s="57">
        <f t="shared" si="10"/>
        <v>231463563</v>
      </c>
      <c r="N43" s="55"/>
      <c r="O43" s="61"/>
    </row>
    <row r="44" spans="1:15" ht="45" hidden="1">
      <c r="A44" s="40"/>
      <c r="B44" s="101" t="s">
        <v>303</v>
      </c>
      <c r="C44" s="38"/>
      <c r="D44" s="38"/>
      <c r="E44" s="38"/>
      <c r="F44" s="38">
        <f t="shared" si="9"/>
        <v>0</v>
      </c>
      <c r="G44" s="38"/>
      <c r="H44" s="38"/>
      <c r="I44" s="38"/>
      <c r="J44" s="38"/>
      <c r="K44" s="81"/>
      <c r="L44" s="38"/>
      <c r="M44" s="57">
        <f t="shared" si="10"/>
        <v>0</v>
      </c>
      <c r="N44" s="55"/>
      <c r="O44" s="61"/>
    </row>
    <row r="45" spans="1:15" ht="51">
      <c r="A45" s="40" t="s">
        <v>80</v>
      </c>
      <c r="B45" s="80" t="s">
        <v>293</v>
      </c>
      <c r="C45" s="81">
        <f>478803192-50509+1394467+(18000)+(63400)+(49000)+(14000)+(56100)+20000+(48600)-1091+(20000)+1416678+(5000)+(10000)-859468+(10000)-134145+(15900)-400600+(5162)+8902700-3151124+(10000)+1060377+(6000)+73854+100000+47937+7375700-252364-154571+1423310</f>
        <v>495945505</v>
      </c>
      <c r="D45" s="38">
        <f>276321165+6541300-1640469+279348+5420900+331518+2364917</f>
        <v>289618679</v>
      </c>
      <c r="E45" s="38">
        <f>73868840-1950948-400600-524038+513789-621897</f>
        <v>70885146</v>
      </c>
      <c r="F45" s="38">
        <f>G45+J45</f>
        <v>20600275</v>
      </c>
      <c r="G45" s="38">
        <v>14490431</v>
      </c>
      <c r="H45" s="38">
        <v>5879126</v>
      </c>
      <c r="I45" s="38">
        <v>218614</v>
      </c>
      <c r="J45" s="38">
        <f>360865+K45</f>
        <v>6109844</v>
      </c>
      <c r="K45" s="81">
        <f>2573978+596572+(109000)+128631+3000+(39500)+(290000)+(402000)+(64600)+(10000)+(276550)+(11500)+(303738)+(14840)+(56000)-(20000)+(5000)+8491+50000+66532+42721+(5000)+(9000)-(5000)+(10000)+(10000)+100000+(4000)+114000+(21500)+(54075)+1085000+(40900)+(5000)+(48000)+(10401)+(15000)-(401)+(15000)+(106092)+(2120)-1095000+(49900)+(10150)+(10000)+(14700)+(6000)-(3948)+(23403)+(2700)-(2054)-50000+(35300)+(7400)+(63032)-(4944)</f>
        <v>5748979</v>
      </c>
      <c r="L45" s="38">
        <f>(39500)+(64600)+(11500)+(14840)-(20000)+(5000)+(5000)+(15000)+(2120)+(10150)</f>
        <v>147710</v>
      </c>
      <c r="M45" s="57">
        <f t="shared" si="10"/>
        <v>516545780</v>
      </c>
      <c r="N45" s="55"/>
      <c r="O45" s="61"/>
    </row>
    <row r="46" spans="1:15" ht="45" hidden="1">
      <c r="A46" s="40"/>
      <c r="B46" s="101" t="s">
        <v>303</v>
      </c>
      <c r="C46" s="81"/>
      <c r="D46" s="38"/>
      <c r="E46" s="38"/>
      <c r="F46" s="38">
        <f t="shared" si="9"/>
        <v>0</v>
      </c>
      <c r="G46" s="38"/>
      <c r="H46" s="38"/>
      <c r="I46" s="38"/>
      <c r="J46" s="38"/>
      <c r="K46" s="38"/>
      <c r="L46" s="38"/>
      <c r="M46" s="57">
        <f t="shared" si="10"/>
        <v>0</v>
      </c>
      <c r="N46" s="55"/>
      <c r="O46" s="61"/>
    </row>
    <row r="47" spans="1:15" ht="12.75">
      <c r="A47" s="94" t="s">
        <v>122</v>
      </c>
      <c r="B47" s="95" t="s">
        <v>129</v>
      </c>
      <c r="C47" s="81">
        <f>7288077+7579+206375+6652-312347-69491</f>
        <v>7126845</v>
      </c>
      <c r="D47" s="38">
        <f>5178287-225734-28456</f>
        <v>4924097</v>
      </c>
      <c r="E47" s="38">
        <f>268945+206375-10199-24653</f>
        <v>440468</v>
      </c>
      <c r="F47" s="38">
        <f t="shared" si="9"/>
        <v>37640</v>
      </c>
      <c r="G47" s="38">
        <v>17990</v>
      </c>
      <c r="H47" s="38"/>
      <c r="I47" s="38">
        <v>731</v>
      </c>
      <c r="J47" s="38">
        <f>1650+(13000)+(5000)</f>
        <v>19650</v>
      </c>
      <c r="K47" s="38">
        <f>(13000)+(5000)</f>
        <v>18000</v>
      </c>
      <c r="L47" s="38"/>
      <c r="M47" s="57">
        <f t="shared" si="10"/>
        <v>7164485</v>
      </c>
      <c r="N47" s="55"/>
      <c r="O47" s="61"/>
    </row>
    <row r="48" spans="1:14" s="3" customFormat="1" ht="51">
      <c r="A48" s="8" t="s">
        <v>123</v>
      </c>
      <c r="B48" s="2" t="s">
        <v>124</v>
      </c>
      <c r="C48" s="142">
        <f>4485284+22371-10510</f>
        <v>4497145</v>
      </c>
      <c r="D48" s="27">
        <f>3298842+8652-4030</f>
        <v>3303464</v>
      </c>
      <c r="E48" s="27"/>
      <c r="F48" s="27">
        <f t="shared" si="9"/>
        <v>0</v>
      </c>
      <c r="G48" s="27">
        <v>0</v>
      </c>
      <c r="H48" s="27"/>
      <c r="I48" s="27"/>
      <c r="J48" s="27"/>
      <c r="K48" s="27"/>
      <c r="L48" s="27"/>
      <c r="M48" s="26">
        <f t="shared" si="10"/>
        <v>4497145</v>
      </c>
      <c r="N48" s="55"/>
    </row>
    <row r="49" spans="1:15" ht="25.5">
      <c r="A49" s="144" t="s">
        <v>81</v>
      </c>
      <c r="B49" s="60" t="s">
        <v>82</v>
      </c>
      <c r="C49" s="81">
        <f>29189340+171627+(10000)+32000+(6000)+71000+(5000)-39183-2921+(3000)+(5000)+127022+(10000)-72133-140040-11000</f>
        <v>29364712</v>
      </c>
      <c r="D49" s="38">
        <f>17391809+88912-59182-102744</f>
        <v>17318795</v>
      </c>
      <c r="E49" s="38">
        <f>5135900-207183-7426-357</f>
        <v>4920934</v>
      </c>
      <c r="F49" s="38">
        <f>G49+J49</f>
        <v>806168</v>
      </c>
      <c r="G49" s="38">
        <v>531513</v>
      </c>
      <c r="H49" s="38">
        <v>203387</v>
      </c>
      <c r="I49" s="38">
        <v>48632</v>
      </c>
      <c r="J49" s="38">
        <f>25036+K49</f>
        <v>274655</v>
      </c>
      <c r="K49" s="38">
        <f>129500+(32000)+(10599)+(9000)+50470+(7000)+(10000)+(1050)</f>
        <v>249619</v>
      </c>
      <c r="L49" s="38"/>
      <c r="M49" s="57">
        <f t="shared" si="10"/>
        <v>30170880</v>
      </c>
      <c r="N49" s="55"/>
      <c r="O49" s="61"/>
    </row>
    <row r="50" spans="1:15" ht="42.75" customHeight="1" hidden="1">
      <c r="A50" s="40"/>
      <c r="B50" s="101" t="s">
        <v>303</v>
      </c>
      <c r="C50" s="81"/>
      <c r="D50" s="38"/>
      <c r="E50" s="38"/>
      <c r="F50" s="38">
        <f t="shared" si="9"/>
        <v>0</v>
      </c>
      <c r="G50" s="38"/>
      <c r="H50" s="38"/>
      <c r="I50" s="38"/>
      <c r="J50" s="38"/>
      <c r="K50" s="38"/>
      <c r="L50" s="38"/>
      <c r="M50" s="57">
        <f t="shared" si="10"/>
        <v>0</v>
      </c>
      <c r="N50" s="55"/>
      <c r="O50" s="61"/>
    </row>
    <row r="51" spans="1:15" ht="27.75" customHeight="1">
      <c r="A51" s="40" t="s">
        <v>83</v>
      </c>
      <c r="B51" s="80" t="s">
        <v>178</v>
      </c>
      <c r="C51" s="81">
        <f>3470435+50509+52993+66910+4500-24488+16515-77915-7670-500</f>
        <v>3551289</v>
      </c>
      <c r="D51" s="38">
        <f>2408238-68250-1991</f>
        <v>2337997</v>
      </c>
      <c r="E51" s="38">
        <f>124261-24488+18886+96-3971</f>
        <v>114784</v>
      </c>
      <c r="F51" s="38">
        <f t="shared" si="9"/>
        <v>0</v>
      </c>
      <c r="G51" s="38">
        <v>0</v>
      </c>
      <c r="H51" s="38"/>
      <c r="I51" s="38"/>
      <c r="J51" s="38"/>
      <c r="K51" s="38"/>
      <c r="L51" s="38"/>
      <c r="M51" s="57">
        <f t="shared" si="10"/>
        <v>3551289</v>
      </c>
      <c r="N51" s="55"/>
      <c r="O51" s="61"/>
    </row>
    <row r="52" spans="1:15" ht="39" customHeight="1">
      <c r="A52" s="40" t="s">
        <v>272</v>
      </c>
      <c r="B52" s="73" t="s">
        <v>242</v>
      </c>
      <c r="C52" s="38">
        <f>883530+16151+39700+11247-3590</f>
        <v>947038</v>
      </c>
      <c r="D52" s="38">
        <f>533934+5686-752</f>
        <v>538868</v>
      </c>
      <c r="E52" s="38">
        <f>9700+1067-2272</f>
        <v>8495</v>
      </c>
      <c r="F52" s="38">
        <f>G52+J52</f>
        <v>0</v>
      </c>
      <c r="G52" s="38"/>
      <c r="H52" s="38"/>
      <c r="I52" s="38"/>
      <c r="J52" s="38"/>
      <c r="K52" s="38"/>
      <c r="L52" s="38"/>
      <c r="M52" s="57">
        <f t="shared" si="10"/>
        <v>947038</v>
      </c>
      <c r="N52" s="55"/>
      <c r="O52" s="61"/>
    </row>
    <row r="53" spans="1:15" ht="36.75" customHeight="1">
      <c r="A53" s="40" t="s">
        <v>84</v>
      </c>
      <c r="B53" s="36" t="s">
        <v>179</v>
      </c>
      <c r="C53" s="81">
        <f>11900540+254999+146824+46675+298715-80115</f>
        <v>12567638</v>
      </c>
      <c r="D53" s="38">
        <f>7656624+160431-5143</f>
        <v>7811912</v>
      </c>
      <c r="E53" s="38">
        <f>505368+107459-32220+63842-50278</f>
        <v>594171</v>
      </c>
      <c r="F53" s="38">
        <f>G53+J53</f>
        <v>17500</v>
      </c>
      <c r="G53" s="38"/>
      <c r="H53" s="38"/>
      <c r="I53" s="38"/>
      <c r="J53" s="38">
        <v>17500</v>
      </c>
      <c r="K53" s="38">
        <v>17500</v>
      </c>
      <c r="L53" s="38"/>
      <c r="M53" s="57">
        <f>C53+F53</f>
        <v>12585138</v>
      </c>
      <c r="N53" s="55"/>
      <c r="O53" s="61"/>
    </row>
    <row r="54" spans="1:15" ht="25.5">
      <c r="A54" s="40" t="s">
        <v>85</v>
      </c>
      <c r="B54" s="73" t="s">
        <v>180</v>
      </c>
      <c r="C54" s="38">
        <f>4784368+108242+26250-102927-79304+102696-7275-89984-1250</f>
        <v>4740816</v>
      </c>
      <c r="D54" s="38">
        <f>2503850+514-3936</f>
        <v>2500428</v>
      </c>
      <c r="E54" s="38">
        <f>724673-102927-38574+86631-50702</f>
        <v>619101</v>
      </c>
      <c r="F54" s="38">
        <f t="shared" si="9"/>
        <v>272761</v>
      </c>
      <c r="G54" s="38">
        <v>219197</v>
      </c>
      <c r="H54" s="38"/>
      <c r="I54" s="38"/>
      <c r="J54" s="38">
        <v>53564</v>
      </c>
      <c r="K54" s="38"/>
      <c r="L54" s="38"/>
      <c r="M54" s="57">
        <f t="shared" si="10"/>
        <v>5013577</v>
      </c>
      <c r="N54" s="55"/>
      <c r="O54" s="61"/>
    </row>
    <row r="55" spans="1:15" ht="12.75">
      <c r="A55" s="79" t="s">
        <v>286</v>
      </c>
      <c r="B55" s="73" t="s">
        <v>287</v>
      </c>
      <c r="C55" s="38">
        <f>4422346+412-131278-87836</f>
        <v>4203644</v>
      </c>
      <c r="D55" s="38">
        <f>2997686-101599-18584</f>
        <v>2877503</v>
      </c>
      <c r="E55" s="38">
        <f>328229+1030-63648</f>
        <v>265611</v>
      </c>
      <c r="F55" s="38">
        <f t="shared" si="9"/>
        <v>0</v>
      </c>
      <c r="G55" s="38"/>
      <c r="H55" s="38"/>
      <c r="I55" s="38"/>
      <c r="J55" s="38">
        <f>(5000)-(5000)</f>
        <v>0</v>
      </c>
      <c r="K55" s="38">
        <f>J55</f>
        <v>0</v>
      </c>
      <c r="L55" s="38">
        <f>K55</f>
        <v>0</v>
      </c>
      <c r="M55" s="57">
        <f t="shared" si="10"/>
        <v>4203644</v>
      </c>
      <c r="N55" s="55"/>
      <c r="O55" s="61"/>
    </row>
    <row r="56" spans="1:15" ht="48.75" customHeight="1">
      <c r="A56" s="40" t="s">
        <v>258</v>
      </c>
      <c r="B56" s="36" t="s">
        <v>259</v>
      </c>
      <c r="C56" s="38">
        <v>267880</v>
      </c>
      <c r="D56" s="38"/>
      <c r="E56" s="38"/>
      <c r="F56" s="38">
        <f t="shared" si="9"/>
        <v>0</v>
      </c>
      <c r="G56" s="38"/>
      <c r="H56" s="38"/>
      <c r="I56" s="38"/>
      <c r="J56" s="38"/>
      <c r="K56" s="38"/>
      <c r="L56" s="38"/>
      <c r="M56" s="57">
        <f t="shared" si="10"/>
        <v>267880</v>
      </c>
      <c r="N56" s="55"/>
      <c r="O56" s="61"/>
    </row>
    <row r="57" spans="1:15" ht="102" hidden="1">
      <c r="A57" s="40" t="s">
        <v>266</v>
      </c>
      <c r="B57" s="36" t="s">
        <v>267</v>
      </c>
      <c r="C57" s="38"/>
      <c r="D57" s="38"/>
      <c r="E57" s="38"/>
      <c r="F57" s="38">
        <f t="shared" si="9"/>
        <v>0</v>
      </c>
      <c r="G57" s="38"/>
      <c r="H57" s="38"/>
      <c r="I57" s="38"/>
      <c r="J57" s="38"/>
      <c r="K57" s="38"/>
      <c r="L57" s="38"/>
      <c r="M57" s="57">
        <f t="shared" si="10"/>
        <v>0</v>
      </c>
      <c r="N57" s="55"/>
      <c r="O57" s="61"/>
    </row>
    <row r="58" spans="1:15" ht="25.5" hidden="1">
      <c r="A58" s="40"/>
      <c r="B58" s="36" t="s">
        <v>219</v>
      </c>
      <c r="C58" s="38"/>
      <c r="D58" s="38"/>
      <c r="E58" s="38"/>
      <c r="F58" s="38"/>
      <c r="G58" s="38"/>
      <c r="H58" s="38"/>
      <c r="I58" s="38"/>
      <c r="J58" s="38"/>
      <c r="K58" s="38"/>
      <c r="L58" s="38"/>
      <c r="M58" s="57">
        <f t="shared" si="10"/>
        <v>0</v>
      </c>
      <c r="N58" s="55"/>
      <c r="O58" s="61"/>
    </row>
    <row r="59" spans="1:15" ht="27" customHeight="1">
      <c r="A59" s="40" t="s">
        <v>98</v>
      </c>
      <c r="B59" s="36" t="s">
        <v>150</v>
      </c>
      <c r="C59" s="38">
        <f>SUM(C60:C63)</f>
        <v>4108576</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10"/>
        <v>4108576</v>
      </c>
      <c r="N59" s="55"/>
      <c r="O59" s="61"/>
    </row>
    <row r="60" spans="1:15" ht="33.75" customHeight="1" hidden="1">
      <c r="A60" s="40" t="s">
        <v>176</v>
      </c>
      <c r="B60" s="62" t="s">
        <v>257</v>
      </c>
      <c r="C60" s="38">
        <f>5344508+335111+31491-5711110</f>
        <v>0</v>
      </c>
      <c r="D60" s="38">
        <f>3648888-3648888</f>
        <v>0</v>
      </c>
      <c r="E60" s="38">
        <f>127100+26092-153192</f>
        <v>0</v>
      </c>
      <c r="F60" s="38">
        <f>G60+J60</f>
        <v>0</v>
      </c>
      <c r="G60" s="38"/>
      <c r="H60" s="38"/>
      <c r="I60" s="38"/>
      <c r="J60" s="141">
        <f>99960+96590-196550</f>
        <v>0</v>
      </c>
      <c r="K60" s="141">
        <f>J60</f>
        <v>0</v>
      </c>
      <c r="L60" s="81">
        <f>99960-99960</f>
        <v>0</v>
      </c>
      <c r="M60" s="57">
        <f>C60+F60</f>
        <v>0</v>
      </c>
      <c r="N60" s="55"/>
      <c r="O60" s="61"/>
    </row>
    <row r="61" spans="1:15" ht="40.5" customHeight="1" hidden="1">
      <c r="A61" s="40" t="s">
        <v>177</v>
      </c>
      <c r="B61" s="62" t="s">
        <v>263</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100</v>
      </c>
      <c r="B62" s="62" t="s">
        <v>220</v>
      </c>
      <c r="C62" s="38">
        <f>421700+154438+35200-12540</f>
        <v>598798</v>
      </c>
      <c r="D62" s="38"/>
      <c r="E62" s="38"/>
      <c r="F62" s="38">
        <f>G62+J62</f>
        <v>0</v>
      </c>
      <c r="G62" s="38"/>
      <c r="H62" s="38"/>
      <c r="I62" s="38"/>
      <c r="J62" s="38"/>
      <c r="K62" s="38"/>
      <c r="L62" s="38"/>
      <c r="M62" s="57">
        <f>C62+F62</f>
        <v>598798</v>
      </c>
      <c r="N62" s="55"/>
      <c r="O62" s="61"/>
    </row>
    <row r="63" spans="1:15" ht="92.25" customHeight="1">
      <c r="A63" s="40" t="s">
        <v>190</v>
      </c>
      <c r="B63" s="36" t="s">
        <v>273</v>
      </c>
      <c r="C63" s="38">
        <f>494391+2988909+98560-72082</f>
        <v>3509778</v>
      </c>
      <c r="D63" s="38"/>
      <c r="E63" s="38"/>
      <c r="F63" s="38"/>
      <c r="G63" s="38"/>
      <c r="H63" s="38"/>
      <c r="I63" s="38"/>
      <c r="J63" s="38"/>
      <c r="K63" s="38"/>
      <c r="L63" s="38"/>
      <c r="M63" s="57">
        <f>C63+F63</f>
        <v>3509778</v>
      </c>
      <c r="N63" s="55"/>
      <c r="O63" s="61"/>
    </row>
    <row r="64" spans="1:15" ht="14.25" customHeight="1">
      <c r="A64" s="40" t="s">
        <v>216</v>
      </c>
      <c r="B64" s="36" t="s">
        <v>119</v>
      </c>
      <c r="C64" s="38">
        <f>SUM(C65:C70)</f>
        <v>25929184</v>
      </c>
      <c r="D64" s="38">
        <f>SUM(D65:D70)</f>
        <v>14110718</v>
      </c>
      <c r="E64" s="38">
        <f>SUM(E65:E70)</f>
        <v>2497639</v>
      </c>
      <c r="F64" s="38">
        <f t="shared" si="9"/>
        <v>1141869</v>
      </c>
      <c r="G64" s="38">
        <f aca="true" t="shared" si="13" ref="G64:L64">SUM(G65:G70)</f>
        <v>1035068</v>
      </c>
      <c r="H64" s="38">
        <f t="shared" si="13"/>
        <v>280663</v>
      </c>
      <c r="I64" s="38">
        <f t="shared" si="13"/>
        <v>80406</v>
      </c>
      <c r="J64" s="38">
        <f t="shared" si="13"/>
        <v>106801</v>
      </c>
      <c r="K64" s="38">
        <f t="shared" si="13"/>
        <v>59500</v>
      </c>
      <c r="L64" s="38">
        <f t="shared" si="13"/>
        <v>2000</v>
      </c>
      <c r="M64" s="57">
        <f aca="true" t="shared" si="14" ref="M64:M108">C64+F64</f>
        <v>27071053</v>
      </c>
      <c r="N64" s="55"/>
      <c r="O64" s="61"/>
    </row>
    <row r="65" spans="1:15" ht="25.5">
      <c r="A65" s="40">
        <v>130102</v>
      </c>
      <c r="B65" s="78" t="s">
        <v>107</v>
      </c>
      <c r="C65" s="38">
        <f>286314+80182-81595</f>
        <v>284901</v>
      </c>
      <c r="D65" s="38"/>
      <c r="E65" s="38"/>
      <c r="F65" s="38">
        <f t="shared" si="9"/>
        <v>0</v>
      </c>
      <c r="G65" s="38"/>
      <c r="H65" s="38"/>
      <c r="I65" s="38"/>
      <c r="J65" s="38"/>
      <c r="K65" s="38"/>
      <c r="L65" s="38"/>
      <c r="M65" s="57">
        <f t="shared" si="14"/>
        <v>284901</v>
      </c>
      <c r="N65" s="55"/>
      <c r="O65" s="61"/>
    </row>
    <row r="66" spans="1:15" ht="38.25">
      <c r="A66" s="79" t="s">
        <v>32</v>
      </c>
      <c r="B66" s="78" t="s">
        <v>33</v>
      </c>
      <c r="C66" s="38">
        <f>81595</f>
        <v>81595</v>
      </c>
      <c r="D66" s="38"/>
      <c r="E66" s="38"/>
      <c r="F66" s="38"/>
      <c r="G66" s="38"/>
      <c r="H66" s="38"/>
      <c r="I66" s="38"/>
      <c r="J66" s="38"/>
      <c r="K66" s="38"/>
      <c r="L66" s="38"/>
      <c r="M66" s="57">
        <f t="shared" si="14"/>
        <v>81595</v>
      </c>
      <c r="N66" s="55"/>
      <c r="O66" s="61"/>
    </row>
    <row r="67" spans="1:15" ht="38.25">
      <c r="A67" s="40">
        <v>130107</v>
      </c>
      <c r="B67" s="78" t="s">
        <v>108</v>
      </c>
      <c r="C67" s="38">
        <f>20009325+118644+(1000)+(5000)+(3000)+51500-34308+11023-93271-1500</f>
        <v>20070413</v>
      </c>
      <c r="D67" s="38">
        <f>12877690-48036</f>
        <v>12829654</v>
      </c>
      <c r="E67" s="38">
        <f>2135935-115000+11023-45235</f>
        <v>1986723</v>
      </c>
      <c r="F67" s="38">
        <f t="shared" si="9"/>
        <v>987589</v>
      </c>
      <c r="G67" s="38">
        <v>885788</v>
      </c>
      <c r="H67" s="38">
        <v>248659</v>
      </c>
      <c r="I67" s="38">
        <v>54488</v>
      </c>
      <c r="J67" s="38">
        <f>42301+K67</f>
        <v>101801</v>
      </c>
      <c r="K67" s="38">
        <f>(32000)+(1000)+(10500)+(1000)+(8000)+(3000)+(4000)</f>
        <v>59500</v>
      </c>
      <c r="L67" s="38">
        <f>(1000)+(1000)</f>
        <v>2000</v>
      </c>
      <c r="M67" s="57">
        <f t="shared" si="14"/>
        <v>21058002</v>
      </c>
      <c r="N67" s="55"/>
      <c r="O67" s="61"/>
    </row>
    <row r="68" spans="1:15" ht="25.5">
      <c r="A68" s="40">
        <v>130110</v>
      </c>
      <c r="B68" s="78" t="s">
        <v>109</v>
      </c>
      <c r="C68" s="81">
        <f>5402761+342-133760-46609-33682-135561</f>
        <v>5053491</v>
      </c>
      <c r="D68" s="38">
        <f>1097999-56487</f>
        <v>1041512</v>
      </c>
      <c r="E68" s="38">
        <f>487965-44621-11023-26800</f>
        <v>405521</v>
      </c>
      <c r="F68" s="38">
        <f t="shared" si="9"/>
        <v>112200</v>
      </c>
      <c r="G68" s="38">
        <v>107200</v>
      </c>
      <c r="H68" s="38">
        <v>12606</v>
      </c>
      <c r="I68" s="38">
        <v>23887</v>
      </c>
      <c r="J68" s="38">
        <v>5000</v>
      </c>
      <c r="K68" s="38"/>
      <c r="L68" s="38"/>
      <c r="M68" s="57">
        <f t="shared" si="14"/>
        <v>5165691</v>
      </c>
      <c r="N68" s="55"/>
      <c r="O68" s="61"/>
    </row>
    <row r="69" spans="1:15" ht="12.75">
      <c r="A69" s="40" t="s">
        <v>173</v>
      </c>
      <c r="B69" s="62" t="s">
        <v>116</v>
      </c>
      <c r="C69" s="38">
        <f>438700+1100+807+2664-4487</f>
        <v>438784</v>
      </c>
      <c r="D69" s="38">
        <v>239552</v>
      </c>
      <c r="E69" s="38">
        <f>109882-4487</f>
        <v>105395</v>
      </c>
      <c r="F69" s="38">
        <f t="shared" si="9"/>
        <v>42080</v>
      </c>
      <c r="G69" s="38">
        <v>42080</v>
      </c>
      <c r="H69" s="38">
        <v>19398</v>
      </c>
      <c r="I69" s="38">
        <v>2031</v>
      </c>
      <c r="J69" s="38"/>
      <c r="K69" s="38"/>
      <c r="L69" s="38"/>
      <c r="M69" s="57">
        <f t="shared" si="14"/>
        <v>480864</v>
      </c>
      <c r="N69" s="55"/>
      <c r="O69" s="61"/>
    </row>
    <row r="70" spans="1:15" ht="16.5" customHeight="1" hidden="1">
      <c r="A70" s="40">
        <v>130113</v>
      </c>
      <c r="B70" s="36" t="s">
        <v>97</v>
      </c>
      <c r="C70" s="38"/>
      <c r="D70" s="38"/>
      <c r="E70" s="38"/>
      <c r="F70" s="38">
        <f t="shared" si="9"/>
        <v>0</v>
      </c>
      <c r="G70" s="38"/>
      <c r="H70" s="38"/>
      <c r="I70" s="38"/>
      <c r="J70" s="38"/>
      <c r="K70" s="38"/>
      <c r="L70" s="38"/>
      <c r="M70" s="57">
        <f t="shared" si="14"/>
        <v>0</v>
      </c>
      <c r="N70" s="55"/>
      <c r="O70" s="61"/>
    </row>
    <row r="71" spans="1:15" ht="38.25" hidden="1">
      <c r="A71" s="40">
        <v>130107</v>
      </c>
      <c r="B71" s="62" t="s">
        <v>108</v>
      </c>
      <c r="C71" s="38"/>
      <c r="D71" s="38"/>
      <c r="E71" s="38"/>
      <c r="F71" s="38">
        <f t="shared" si="9"/>
        <v>0</v>
      </c>
      <c r="G71" s="38"/>
      <c r="H71" s="38"/>
      <c r="I71" s="38"/>
      <c r="J71" s="38"/>
      <c r="K71" s="38"/>
      <c r="L71" s="38"/>
      <c r="M71" s="57">
        <f t="shared" si="14"/>
        <v>0</v>
      </c>
      <c r="N71" s="55"/>
      <c r="O71" s="61"/>
    </row>
    <row r="72" spans="1:15" ht="12.75">
      <c r="A72" s="40" t="s">
        <v>203</v>
      </c>
      <c r="B72" s="62" t="s">
        <v>110</v>
      </c>
      <c r="C72" s="38">
        <f>C73+C75</f>
        <v>0</v>
      </c>
      <c r="D72" s="38">
        <f>D73+D75</f>
        <v>0</v>
      </c>
      <c r="E72" s="38">
        <f>E73+E75</f>
        <v>0</v>
      </c>
      <c r="F72" s="38">
        <f t="shared" si="9"/>
        <v>18135576</v>
      </c>
      <c r="G72" s="38">
        <f aca="true" t="shared" si="15" ref="G72:L72">G73+G75</f>
        <v>0</v>
      </c>
      <c r="H72" s="38">
        <f t="shared" si="15"/>
        <v>0</v>
      </c>
      <c r="I72" s="38">
        <f t="shared" si="15"/>
        <v>0</v>
      </c>
      <c r="J72" s="38">
        <f t="shared" si="15"/>
        <v>18135576</v>
      </c>
      <c r="K72" s="38">
        <f t="shared" si="15"/>
        <v>18135576</v>
      </c>
      <c r="L72" s="38">
        <f t="shared" si="15"/>
        <v>5250000</v>
      </c>
      <c r="M72" s="57">
        <f t="shared" si="14"/>
        <v>18135576</v>
      </c>
      <c r="N72" s="55"/>
      <c r="O72" s="61"/>
    </row>
    <row r="73" spans="1:15" s="56" customFormat="1" ht="12.75">
      <c r="A73" s="40" t="s">
        <v>171</v>
      </c>
      <c r="B73" s="62" t="s">
        <v>172</v>
      </c>
      <c r="C73" s="38"/>
      <c r="D73" s="38"/>
      <c r="E73" s="38"/>
      <c r="F73" s="38">
        <f t="shared" si="9"/>
        <v>18135576</v>
      </c>
      <c r="G73" s="38"/>
      <c r="H73" s="38"/>
      <c r="I73" s="38"/>
      <c r="J73" s="38">
        <f>K73</f>
        <v>18135576</v>
      </c>
      <c r="K73" s="81">
        <f>10142912+531283+2000+472597+13342389-58961-50000+1000000-5142687+3221443-2269000+1250000-1500000-395400-1500000-911000</f>
        <v>18135576</v>
      </c>
      <c r="L73" s="38">
        <f>1250000+3000000+1000000</f>
        <v>5250000</v>
      </c>
      <c r="M73" s="57">
        <f t="shared" si="14"/>
        <v>18135576</v>
      </c>
      <c r="N73" s="55"/>
      <c r="O73" s="55"/>
    </row>
    <row r="74" spans="1:15" s="56" customFormat="1" ht="45">
      <c r="A74" s="40"/>
      <c r="B74" s="98" t="s">
        <v>51</v>
      </c>
      <c r="C74" s="38"/>
      <c r="D74" s="38"/>
      <c r="E74" s="38"/>
      <c r="F74" s="38">
        <f t="shared" si="9"/>
        <v>1250000</v>
      </c>
      <c r="G74" s="38"/>
      <c r="H74" s="38"/>
      <c r="I74" s="38"/>
      <c r="J74" s="38">
        <f>K74</f>
        <v>1250000</v>
      </c>
      <c r="K74" s="81">
        <v>1250000</v>
      </c>
      <c r="L74" s="38">
        <f>1250000</f>
        <v>1250000</v>
      </c>
      <c r="M74" s="57">
        <f t="shared" si="14"/>
        <v>1250000</v>
      </c>
      <c r="N74" s="55"/>
      <c r="O74" s="55"/>
    </row>
    <row r="75" spans="1:15" s="59" customFormat="1" ht="12.75" hidden="1">
      <c r="A75" s="40" t="s">
        <v>191</v>
      </c>
      <c r="B75" s="62" t="s">
        <v>192</v>
      </c>
      <c r="C75" s="38"/>
      <c r="D75" s="38"/>
      <c r="E75" s="38"/>
      <c r="F75" s="38">
        <f t="shared" si="9"/>
        <v>0</v>
      </c>
      <c r="G75" s="38"/>
      <c r="H75" s="38"/>
      <c r="I75" s="38"/>
      <c r="J75" s="38"/>
      <c r="K75" s="38">
        <f>J75</f>
        <v>0</v>
      </c>
      <c r="L75" s="38"/>
      <c r="M75" s="57">
        <f t="shared" si="14"/>
        <v>0</v>
      </c>
      <c r="N75" s="55"/>
      <c r="O75" s="58"/>
    </row>
    <row r="76" spans="1:15" ht="25.5" hidden="1">
      <c r="A76" s="40"/>
      <c r="B76" s="62" t="s">
        <v>219</v>
      </c>
      <c r="C76" s="38"/>
      <c r="D76" s="38"/>
      <c r="E76" s="38"/>
      <c r="F76" s="38">
        <f t="shared" si="9"/>
        <v>0</v>
      </c>
      <c r="G76" s="38"/>
      <c r="H76" s="38"/>
      <c r="I76" s="38"/>
      <c r="J76" s="38"/>
      <c r="K76" s="38">
        <f>J76</f>
        <v>0</v>
      </c>
      <c r="L76" s="38"/>
      <c r="M76" s="57">
        <f t="shared" si="14"/>
        <v>0</v>
      </c>
      <c r="N76" s="55"/>
      <c r="O76" s="61"/>
    </row>
    <row r="77" spans="1:15" s="59" customFormat="1" ht="12.75">
      <c r="A77" s="40" t="s">
        <v>206</v>
      </c>
      <c r="B77" s="78" t="s">
        <v>210</v>
      </c>
      <c r="C77" s="38"/>
      <c r="D77" s="38"/>
      <c r="E77" s="38"/>
      <c r="F77" s="38">
        <f>G77+J77</f>
        <v>572095</v>
      </c>
      <c r="G77" s="38">
        <f>G78+G79</f>
        <v>159311</v>
      </c>
      <c r="H77" s="38">
        <f>H78</f>
        <v>0</v>
      </c>
      <c r="I77" s="38">
        <f>I78</f>
        <v>0</v>
      </c>
      <c r="J77" s="38">
        <f>J78+J79</f>
        <v>412784</v>
      </c>
      <c r="K77" s="38">
        <f>K78+K79</f>
        <v>0</v>
      </c>
      <c r="L77" s="38">
        <f>L78+L79</f>
        <v>0</v>
      </c>
      <c r="M77" s="57">
        <f t="shared" si="14"/>
        <v>572095</v>
      </c>
      <c r="N77" s="55"/>
      <c r="O77" s="58"/>
    </row>
    <row r="78" spans="1:15" ht="25.5">
      <c r="A78" s="40" t="s">
        <v>170</v>
      </c>
      <c r="B78" s="62" t="s">
        <v>185</v>
      </c>
      <c r="C78" s="38"/>
      <c r="D78" s="38"/>
      <c r="E78" s="38"/>
      <c r="F78" s="38">
        <f t="shared" si="9"/>
        <v>572095</v>
      </c>
      <c r="G78" s="38">
        <f>30500+117311+11500</f>
        <v>159311</v>
      </c>
      <c r="H78" s="38"/>
      <c r="I78" s="38"/>
      <c r="J78" s="38">
        <f>200000+784+12000+200000</f>
        <v>412784</v>
      </c>
      <c r="K78" s="38"/>
      <c r="L78" s="38"/>
      <c r="M78" s="57">
        <f>C78+F78</f>
        <v>572095</v>
      </c>
      <c r="N78" s="55"/>
      <c r="O78" s="61"/>
    </row>
    <row r="79" spans="1:15" ht="25.5" hidden="1">
      <c r="A79" s="115" t="s">
        <v>114</v>
      </c>
      <c r="B79" s="116" t="s">
        <v>166</v>
      </c>
      <c r="C79" s="81"/>
      <c r="D79" s="81"/>
      <c r="E79" s="81"/>
      <c r="F79" s="38">
        <f t="shared" si="9"/>
        <v>0</v>
      </c>
      <c r="G79" s="81">
        <f>262546-262546</f>
        <v>0</v>
      </c>
      <c r="H79" s="81"/>
      <c r="I79" s="81"/>
      <c r="J79" s="81">
        <f>98000-98000</f>
        <v>0</v>
      </c>
      <c r="K79" s="81"/>
      <c r="L79" s="81"/>
      <c r="M79" s="57">
        <f>C79+F79</f>
        <v>0</v>
      </c>
      <c r="N79" s="55"/>
      <c r="O79" s="61"/>
    </row>
    <row r="80" spans="1:15" ht="25.5">
      <c r="A80" s="115" t="s">
        <v>208</v>
      </c>
      <c r="B80" s="116" t="s">
        <v>48</v>
      </c>
      <c r="C80" s="81">
        <f>C81</f>
        <v>54000</v>
      </c>
      <c r="D80" s="81"/>
      <c r="E80" s="81"/>
      <c r="F80" s="38"/>
      <c r="G80" s="81"/>
      <c r="H80" s="81"/>
      <c r="I80" s="81"/>
      <c r="J80" s="81"/>
      <c r="K80" s="81"/>
      <c r="L80" s="81"/>
      <c r="M80" s="57">
        <f>M81</f>
        <v>54000</v>
      </c>
      <c r="N80" s="55"/>
      <c r="O80" s="61"/>
    </row>
    <row r="81" spans="1:15" ht="77.25" customHeight="1">
      <c r="A81" s="115" t="s">
        <v>251</v>
      </c>
      <c r="B81" s="116" t="s">
        <v>252</v>
      </c>
      <c r="C81" s="81">
        <v>54000</v>
      </c>
      <c r="D81" s="81"/>
      <c r="E81" s="81"/>
      <c r="F81" s="38">
        <f t="shared" si="9"/>
        <v>0</v>
      </c>
      <c r="G81" s="81"/>
      <c r="H81" s="81"/>
      <c r="I81" s="81"/>
      <c r="J81" s="81"/>
      <c r="K81" s="81"/>
      <c r="L81" s="81"/>
      <c r="M81" s="57">
        <f>C81+F81</f>
        <v>54000</v>
      </c>
      <c r="N81" s="55"/>
      <c r="O81" s="61"/>
    </row>
    <row r="82" spans="1:15" ht="25.5">
      <c r="A82" s="106" t="s">
        <v>363</v>
      </c>
      <c r="B82" s="107" t="s">
        <v>320</v>
      </c>
      <c r="C82" s="53">
        <f>C83+C85+C98+C103</f>
        <v>530631829</v>
      </c>
      <c r="D82" s="53">
        <f>D83+D85+D98+D103</f>
        <v>318787505</v>
      </c>
      <c r="E82" s="53">
        <f>E83+E85+E98+E103</f>
        <v>51560324</v>
      </c>
      <c r="F82" s="53">
        <f>F84+F85+F104+F99+F101</f>
        <v>45976652</v>
      </c>
      <c r="G82" s="53">
        <f aca="true" t="shared" si="16" ref="G82:L82">G83+G85+G98+G103</f>
        <v>18036226</v>
      </c>
      <c r="H82" s="53">
        <f t="shared" si="16"/>
        <v>7201741</v>
      </c>
      <c r="I82" s="53">
        <f t="shared" si="16"/>
        <v>1166030</v>
      </c>
      <c r="J82" s="53">
        <f t="shared" si="16"/>
        <v>27940426</v>
      </c>
      <c r="K82" s="53">
        <f t="shared" si="16"/>
        <v>27398855</v>
      </c>
      <c r="L82" s="53">
        <f t="shared" si="16"/>
        <v>6386975</v>
      </c>
      <c r="M82" s="54">
        <f t="shared" si="14"/>
        <v>576608481</v>
      </c>
      <c r="N82" s="55"/>
      <c r="O82" s="61"/>
    </row>
    <row r="83" spans="1:15" ht="12.75">
      <c r="A83" s="43" t="s">
        <v>199</v>
      </c>
      <c r="B83" s="44" t="s">
        <v>200</v>
      </c>
      <c r="C83" s="37">
        <f>C84</f>
        <v>1152329</v>
      </c>
      <c r="D83" s="37">
        <f>D84</f>
        <v>677075</v>
      </c>
      <c r="E83" s="37">
        <f>E84</f>
        <v>135641</v>
      </c>
      <c r="F83" s="38">
        <f>F84</f>
        <v>0</v>
      </c>
      <c r="G83" s="38">
        <f aca="true" t="shared" si="17" ref="G83:L83">G84</f>
        <v>0</v>
      </c>
      <c r="H83" s="38">
        <f t="shared" si="17"/>
        <v>0</v>
      </c>
      <c r="I83" s="38">
        <f t="shared" si="17"/>
        <v>0</v>
      </c>
      <c r="J83" s="38">
        <f t="shared" si="17"/>
        <v>0</v>
      </c>
      <c r="K83" s="38">
        <f t="shared" si="17"/>
        <v>0</v>
      </c>
      <c r="L83" s="38">
        <f t="shared" si="17"/>
        <v>0</v>
      </c>
      <c r="M83" s="57">
        <f t="shared" si="14"/>
        <v>1152329</v>
      </c>
      <c r="N83" s="55"/>
      <c r="O83" s="61"/>
    </row>
    <row r="84" spans="1:15" ht="12.75">
      <c r="A84" s="40" t="s">
        <v>76</v>
      </c>
      <c r="B84" s="60" t="s">
        <v>77</v>
      </c>
      <c r="C84" s="38">
        <f>1163393+10440+26036-22540-25000</f>
        <v>1152329</v>
      </c>
      <c r="D84" s="38">
        <f>711915-14540-20300</f>
        <v>677075</v>
      </c>
      <c r="E84" s="38">
        <f>143641-8000</f>
        <v>135641</v>
      </c>
      <c r="F84" s="38">
        <f aca="true" t="shared" si="18" ref="F84:F104">G84+J84</f>
        <v>0</v>
      </c>
      <c r="G84" s="38"/>
      <c r="H84" s="38"/>
      <c r="I84" s="38"/>
      <c r="J84" s="38">
        <f>19150-19150</f>
        <v>0</v>
      </c>
      <c r="K84" s="38">
        <f>J84</f>
        <v>0</v>
      </c>
      <c r="L84" s="38"/>
      <c r="M84" s="57">
        <f t="shared" si="14"/>
        <v>1152329</v>
      </c>
      <c r="N84" s="55"/>
      <c r="O84" s="61"/>
    </row>
    <row r="85" spans="1:15" ht="12.75">
      <c r="A85" s="43" t="s">
        <v>86</v>
      </c>
      <c r="B85" s="69" t="s">
        <v>87</v>
      </c>
      <c r="C85" s="38">
        <f>SUM(C86:C97)</f>
        <v>529479500</v>
      </c>
      <c r="D85" s="38">
        <f>SUM(D86:D97)</f>
        <v>318110430</v>
      </c>
      <c r="E85" s="38">
        <f>SUM(E86:E97)</f>
        <v>51424683</v>
      </c>
      <c r="F85" s="38">
        <f t="shared" si="18"/>
        <v>29712920</v>
      </c>
      <c r="G85" s="38">
        <f aca="true" t="shared" si="19" ref="G85:L85">G86+G88+G89+G91+G92+G94+G95+G96+G97+G93</f>
        <v>18036226</v>
      </c>
      <c r="H85" s="38">
        <f t="shared" si="19"/>
        <v>7201741</v>
      </c>
      <c r="I85" s="38">
        <f t="shared" si="19"/>
        <v>1166030</v>
      </c>
      <c r="J85" s="38">
        <f t="shared" si="19"/>
        <v>11676694</v>
      </c>
      <c r="K85" s="38">
        <f t="shared" si="19"/>
        <v>11135123</v>
      </c>
      <c r="L85" s="38">
        <f t="shared" si="19"/>
        <v>136975</v>
      </c>
      <c r="M85" s="57">
        <f t="shared" si="14"/>
        <v>559192420</v>
      </c>
      <c r="N85" s="55"/>
      <c r="O85" s="61"/>
    </row>
    <row r="86" spans="1:15" ht="12.75">
      <c r="A86" s="40" t="s">
        <v>88</v>
      </c>
      <c r="B86" s="36" t="s">
        <v>89</v>
      </c>
      <c r="C86" s="38">
        <f>319685120+29300+538583+3034571-595000+1333126+200603+(15000)-9300+(17000)+19600-(5000)+22010-90670+14043+839204+785097+340490-15000-315038-43300+70570+(20000)+31876-80264+10892090+51869+(18750)+10050610+10235921-15956+1013662+1+238230</f>
        <v>358327798</v>
      </c>
      <c r="D86" s="38">
        <f>192867979+21500+2322933-66520+615607+641850+7848378-44598+7410584+7546846+39094+67295</f>
        <v>219270948</v>
      </c>
      <c r="E86" s="38">
        <f>35787381-403321+538583-15809-315038-80264+1065412+121800</f>
        <v>36698744</v>
      </c>
      <c r="F86" s="38">
        <f>G86+J86</f>
        <v>15317738</v>
      </c>
      <c r="G86" s="38">
        <v>6849228</v>
      </c>
      <c r="H86" s="38">
        <v>2288240</v>
      </c>
      <c r="I86" s="38">
        <v>193949</v>
      </c>
      <c r="J86" s="134">
        <f>228884+K86</f>
        <v>8468510</v>
      </c>
      <c r="K86" s="38">
        <f>3269300+142000+2498000+822311+179061+734176+16295+(38000)+(30500)+(108000)+(28000)+(5000)-(2000)+(86000)+(6000)+(227788)+(49220)+(6000)+(10000)+(10000)+(5000)+(51210)+60000+(1820)+162623+(14000)+(100)+(28540)-(10000)+(20000)-300000+(400)+(3960)+(20000)+186481+(6000)+(10000)+(6035)+50000+(3500)+(3500)+(13000)-430194+(20000)+(50000)</f>
        <v>8239626</v>
      </c>
      <c r="L86" s="38">
        <f>(5000)+(28000)+(6000)+(49220)+(10000)+(100)+(6035)+(3500)</f>
        <v>107855</v>
      </c>
      <c r="M86" s="57">
        <f t="shared" si="14"/>
        <v>373645536</v>
      </c>
      <c r="N86" s="55"/>
      <c r="O86" s="61"/>
    </row>
    <row r="87" spans="1:15" ht="42" customHeight="1" hidden="1">
      <c r="A87" s="40"/>
      <c r="B87" s="101" t="s">
        <v>303</v>
      </c>
      <c r="C87" s="38"/>
      <c r="D87" s="38"/>
      <c r="E87" s="38"/>
      <c r="F87" s="38">
        <f t="shared" si="18"/>
        <v>0</v>
      </c>
      <c r="G87" s="38"/>
      <c r="H87" s="38"/>
      <c r="I87" s="38"/>
      <c r="J87" s="38">
        <f>K87</f>
        <v>0</v>
      </c>
      <c r="K87" s="38"/>
      <c r="L87" s="38"/>
      <c r="M87" s="57">
        <f t="shared" si="14"/>
        <v>0</v>
      </c>
      <c r="N87" s="55"/>
      <c r="O87" s="61"/>
    </row>
    <row r="88" spans="1:15" ht="25.5">
      <c r="A88" s="40" t="s">
        <v>125</v>
      </c>
      <c r="B88" s="73" t="s">
        <v>20</v>
      </c>
      <c r="C88" s="38">
        <f>52140566+60173-3070112+119715+40949+(16000)+(21000)+12906+2866336+15000-905657-3850-2048+1438593+1465045-12307+677112-376452</f>
        <v>54502969</v>
      </c>
      <c r="D88" s="38">
        <f>31185015-2348275+2104753-661479+1057716+1077165+347196-277114</f>
        <v>32484977</v>
      </c>
      <c r="E88" s="38">
        <f>7563730-85328+60173+228500</f>
        <v>7767075</v>
      </c>
      <c r="F88" s="38">
        <f t="shared" si="18"/>
        <v>1304962</v>
      </c>
      <c r="G88" s="38">
        <v>417354</v>
      </c>
      <c r="H88" s="38"/>
      <c r="I88" s="38"/>
      <c r="J88" s="38">
        <f>K88</f>
        <v>887608</v>
      </c>
      <c r="K88" s="38">
        <f>301300+260000+58000+11400+(10000)+(27000)+(58500)+(30000)+(31500)+(3000)+(3050)+(4770)+(4000)+(5000)+(8000)+(944)+(28000)+99000-55856</f>
        <v>887608</v>
      </c>
      <c r="L88" s="38">
        <f>(3000)+(4770)+(5000)</f>
        <v>12770</v>
      </c>
      <c r="M88" s="57">
        <f t="shared" si="14"/>
        <v>55807931</v>
      </c>
      <c r="N88" s="55"/>
      <c r="O88" s="61"/>
    </row>
    <row r="89" spans="1:15" ht="51">
      <c r="A89" s="40" t="s">
        <v>90</v>
      </c>
      <c r="B89" s="36" t="s">
        <v>181</v>
      </c>
      <c r="C89" s="38">
        <f>80288652+6237+21000+170267+55974+(10000)-31364+(18190)+(18000)+14852+43200-32516-40877-8010099+182943-2700-101654-1869730+3850-60789+(6800)+1916452+1951691-9695+275980+(10000)+100443</f>
        <v>74935107</v>
      </c>
      <c r="D89" s="38">
        <f>52193344-59060-5021464-1345896-44598+1419168+1445263+109052+77000</f>
        <v>48772809</v>
      </c>
      <c r="E89" s="38">
        <f>5227262-93565+6237-621296+91093</f>
        <v>4609731</v>
      </c>
      <c r="F89" s="38">
        <f t="shared" si="18"/>
        <v>4845819</v>
      </c>
      <c r="G89" s="38">
        <f>3671891-5808</f>
        <v>3666083</v>
      </c>
      <c r="H89" s="38">
        <v>1371902</v>
      </c>
      <c r="I89" s="38">
        <v>169790</v>
      </c>
      <c r="J89" s="38">
        <f>134263+5808+K89</f>
        <v>1179736</v>
      </c>
      <c r="K89" s="38">
        <f>2118400-200000+56190+(4000)+(62600)+(47000)+(14000)+(2000)+(49506)+(2350)+(39990)+(12000)+(5000)-298900-162623+(3000)+1079008+112604+(10000)-578000-200000+(5925)-727979-415206-(1200)</f>
        <v>1039665</v>
      </c>
      <c r="L89" s="38">
        <f>(14000)+(2350)</f>
        <v>16350</v>
      </c>
      <c r="M89" s="57">
        <f t="shared" si="14"/>
        <v>79780926</v>
      </c>
      <c r="N89" s="55"/>
      <c r="O89" s="61"/>
    </row>
    <row r="90" spans="1:15" ht="65.25" customHeight="1" hidden="1">
      <c r="A90" s="40"/>
      <c r="B90" s="80" t="s">
        <v>303</v>
      </c>
      <c r="C90" s="38"/>
      <c r="D90" s="38"/>
      <c r="E90" s="38"/>
      <c r="F90" s="38">
        <f t="shared" si="18"/>
        <v>0</v>
      </c>
      <c r="G90" s="38"/>
      <c r="H90" s="38"/>
      <c r="I90" s="38"/>
      <c r="J90" s="38"/>
      <c r="K90" s="38"/>
      <c r="L90" s="38"/>
      <c r="M90" s="57">
        <f t="shared" si="14"/>
        <v>0</v>
      </c>
      <c r="N90" s="55"/>
      <c r="O90" s="61"/>
    </row>
    <row r="91" spans="1:15" ht="25.5">
      <c r="A91" s="40" t="s">
        <v>91</v>
      </c>
      <c r="B91" s="44" t="s">
        <v>92</v>
      </c>
      <c r="C91" s="38">
        <f>16983617+17689+213479+37074+2954+163790+26834-7000-667341+529068+538795-2356+100394</f>
        <v>17936997</v>
      </c>
      <c r="D91" s="38">
        <f>10389818-513326+390984+398173+53963</f>
        <v>10719612</v>
      </c>
      <c r="E91" s="38">
        <f>1189385-32424+17689+29400</f>
        <v>1204050</v>
      </c>
      <c r="F91" s="38">
        <f t="shared" si="18"/>
        <v>7287177</v>
      </c>
      <c r="G91" s="38">
        <v>7103561</v>
      </c>
      <c r="H91" s="38">
        <v>3541599</v>
      </c>
      <c r="I91" s="38">
        <v>802291</v>
      </c>
      <c r="J91" s="38">
        <f>172616+K91</f>
        <v>183616</v>
      </c>
      <c r="K91" s="38">
        <f>(5000)+(6000)</f>
        <v>11000</v>
      </c>
      <c r="L91" s="38"/>
      <c r="M91" s="57">
        <f t="shared" si="14"/>
        <v>25224174</v>
      </c>
      <c r="N91" s="55"/>
      <c r="O91" s="61"/>
    </row>
    <row r="92" spans="1:15" ht="25.5">
      <c r="A92" s="40" t="s">
        <v>93</v>
      </c>
      <c r="B92" s="36" t="s">
        <v>154</v>
      </c>
      <c r="C92" s="38">
        <f>277130+1612+14378+2600</f>
        <v>295720</v>
      </c>
      <c r="D92" s="38">
        <f>186122+6073</f>
        <v>192195</v>
      </c>
      <c r="E92" s="38">
        <f>12720-2079+2600</f>
        <v>13241</v>
      </c>
      <c r="F92" s="38">
        <f t="shared" si="18"/>
        <v>0</v>
      </c>
      <c r="G92" s="38"/>
      <c r="H92" s="38"/>
      <c r="I92" s="38"/>
      <c r="J92" s="38"/>
      <c r="K92" s="38"/>
      <c r="L92" s="38"/>
      <c r="M92" s="57">
        <f t="shared" si="14"/>
        <v>295720</v>
      </c>
      <c r="N92" s="55"/>
      <c r="O92" s="61"/>
    </row>
    <row r="93" spans="1:15" ht="25.5">
      <c r="A93" s="79" t="s">
        <v>40</v>
      </c>
      <c r="B93" s="36" t="s">
        <v>41</v>
      </c>
      <c r="C93" s="38">
        <f>298136+7225002-155700+315038+69778+80264-891154+334213+401170+408548+619863-54921</f>
        <v>8650237</v>
      </c>
      <c r="D93" s="38">
        <f>125580+4379614+232500-650717+89196+296702+302158+190339-42681</f>
        <v>4922691</v>
      </c>
      <c r="E93" s="38">
        <f>637105+80264+360200</f>
        <v>1077569</v>
      </c>
      <c r="F93" s="38">
        <f t="shared" si="18"/>
        <v>957224</v>
      </c>
      <c r="G93" s="38"/>
      <c r="H93" s="38"/>
      <c r="I93" s="38"/>
      <c r="J93" s="38">
        <f>K93</f>
        <v>957224</v>
      </c>
      <c r="K93" s="38">
        <f>298900+60000+300000+298324</f>
        <v>957224</v>
      </c>
      <c r="L93" s="38"/>
      <c r="M93" s="57">
        <f t="shared" si="14"/>
        <v>9607461</v>
      </c>
      <c r="N93" s="55"/>
      <c r="O93" s="61"/>
    </row>
    <row r="94" spans="1:15" ht="12.75">
      <c r="A94" s="40" t="s">
        <v>94</v>
      </c>
      <c r="B94" s="73" t="s">
        <v>182</v>
      </c>
      <c r="C94" s="38">
        <f>10004965+35541-10440+595000+7911-174950-78201-17570-7173-323245-141476</f>
        <v>9890362</v>
      </c>
      <c r="D94" s="38">
        <f>414526+25342-8302</f>
        <v>431566</v>
      </c>
      <c r="E94" s="38">
        <f>25129-2079-6100</f>
        <v>16950</v>
      </c>
      <c r="F94" s="38">
        <f t="shared" si="18"/>
        <v>0</v>
      </c>
      <c r="G94" s="38"/>
      <c r="H94" s="38"/>
      <c r="I94" s="38"/>
      <c r="J94" s="38"/>
      <c r="K94" s="38"/>
      <c r="L94" s="38"/>
      <c r="M94" s="57">
        <f t="shared" si="14"/>
        <v>9890362</v>
      </c>
      <c r="N94" s="55"/>
      <c r="O94" s="61"/>
    </row>
    <row r="95" spans="1:15" ht="78.75" customHeight="1">
      <c r="A95" s="40" t="s">
        <v>95</v>
      </c>
      <c r="B95" s="73" t="s">
        <v>23</v>
      </c>
      <c r="C95" s="38">
        <f>35851+1978383+45966+11764-5413+2000</f>
        <v>2068551</v>
      </c>
      <c r="D95" s="38">
        <f>26261+1292925-3554</f>
        <v>1315632</v>
      </c>
      <c r="E95" s="38">
        <f>37323</f>
        <v>37323</v>
      </c>
      <c r="F95" s="38">
        <f t="shared" si="18"/>
        <v>0</v>
      </c>
      <c r="G95" s="38"/>
      <c r="H95" s="38"/>
      <c r="I95" s="38"/>
      <c r="J95" s="38"/>
      <c r="K95" s="38"/>
      <c r="L95" s="38"/>
      <c r="M95" s="57">
        <f t="shared" si="14"/>
        <v>2068551</v>
      </c>
      <c r="N95" s="55"/>
      <c r="O95" s="61"/>
    </row>
    <row r="96" spans="1:15" ht="18.75" customHeight="1" hidden="1">
      <c r="A96" s="40" t="s">
        <v>96</v>
      </c>
      <c r="B96" s="36" t="s">
        <v>97</v>
      </c>
      <c r="C96" s="38">
        <f>1999383-21000-1978383</f>
        <v>0</v>
      </c>
      <c r="D96" s="38">
        <f>1292925-1292925</f>
        <v>0</v>
      </c>
      <c r="E96" s="38">
        <f>40489-3166-37323</f>
        <v>0</v>
      </c>
      <c r="F96" s="38">
        <f t="shared" si="18"/>
        <v>0</v>
      </c>
      <c r="G96" s="38"/>
      <c r="H96" s="38"/>
      <c r="I96" s="38"/>
      <c r="J96" s="38"/>
      <c r="K96" s="38"/>
      <c r="L96" s="38"/>
      <c r="M96" s="57">
        <f t="shared" si="14"/>
        <v>0</v>
      </c>
      <c r="N96" s="55"/>
      <c r="O96" s="61"/>
    </row>
    <row r="97" spans="1:15" ht="38.25">
      <c r="A97" s="40" t="s">
        <v>167</v>
      </c>
      <c r="B97" s="62" t="s">
        <v>221</v>
      </c>
      <c r="C97" s="38">
        <f>3161291-289532</f>
        <v>2871759</v>
      </c>
      <c r="D97" s="38"/>
      <c r="E97" s="38"/>
      <c r="F97" s="38">
        <f t="shared" si="18"/>
        <v>0</v>
      </c>
      <c r="G97" s="38"/>
      <c r="H97" s="38"/>
      <c r="I97" s="38"/>
      <c r="J97" s="38"/>
      <c r="K97" s="38"/>
      <c r="L97" s="38"/>
      <c r="M97" s="57">
        <f t="shared" si="14"/>
        <v>2871759</v>
      </c>
      <c r="N97" s="55"/>
      <c r="O97" s="61"/>
    </row>
    <row r="98" spans="1:15" s="56" customFormat="1" ht="12.75">
      <c r="A98" s="40" t="s">
        <v>203</v>
      </c>
      <c r="B98" s="62" t="s">
        <v>110</v>
      </c>
      <c r="C98" s="38">
        <f>C99+C101</f>
        <v>0</v>
      </c>
      <c r="D98" s="38">
        <f>D99+D101</f>
        <v>0</v>
      </c>
      <c r="E98" s="38">
        <f>E99+E101</f>
        <v>0</v>
      </c>
      <c r="F98" s="38">
        <f t="shared" si="18"/>
        <v>16263732</v>
      </c>
      <c r="G98" s="38">
        <f>G99+G101</f>
        <v>0</v>
      </c>
      <c r="H98" s="38">
        <f>H99+H101</f>
        <v>0</v>
      </c>
      <c r="I98" s="38">
        <f>I99+I101</f>
        <v>0</v>
      </c>
      <c r="J98" s="38">
        <f>J99+J101</f>
        <v>16263732</v>
      </c>
      <c r="K98" s="38">
        <f>K99+K101</f>
        <v>16263732</v>
      </c>
      <c r="L98" s="38">
        <f>L99</f>
        <v>6250000</v>
      </c>
      <c r="M98" s="57">
        <f t="shared" si="14"/>
        <v>16263732</v>
      </c>
      <c r="N98" s="55"/>
      <c r="O98" s="55"/>
    </row>
    <row r="99" spans="1:15" s="59" customFormat="1" ht="12.75">
      <c r="A99" s="40" t="s">
        <v>171</v>
      </c>
      <c r="B99" s="36" t="s">
        <v>172</v>
      </c>
      <c r="C99" s="38"/>
      <c r="D99" s="38"/>
      <c r="E99" s="38"/>
      <c r="F99" s="38">
        <f t="shared" si="18"/>
        <v>16263732</v>
      </c>
      <c r="G99" s="38"/>
      <c r="H99" s="38"/>
      <c r="I99" s="38"/>
      <c r="J99" s="38">
        <f>K99</f>
        <v>16263732</v>
      </c>
      <c r="K99" s="81">
        <f>1916316+1189054+2000+661046+4769869+812227+300000+1506381-910680+6250000+2474392-89365+72845-186481-1415000-1500000+150000-118395-25500-10183+415206</f>
        <v>16263732</v>
      </c>
      <c r="L99" s="81">
        <f>6250000+2000000-2000000</f>
        <v>6250000</v>
      </c>
      <c r="M99" s="57">
        <f t="shared" si="14"/>
        <v>16263732</v>
      </c>
      <c r="N99" s="55"/>
      <c r="O99" s="58"/>
    </row>
    <row r="100" spans="1:15" s="59" customFormat="1" ht="45">
      <c r="A100" s="40"/>
      <c r="B100" s="98" t="s">
        <v>51</v>
      </c>
      <c r="C100" s="38"/>
      <c r="D100" s="38"/>
      <c r="E100" s="38"/>
      <c r="F100" s="38">
        <f t="shared" si="18"/>
        <v>6250000</v>
      </c>
      <c r="G100" s="38"/>
      <c r="H100" s="38"/>
      <c r="I100" s="38"/>
      <c r="J100" s="38">
        <f>K100</f>
        <v>6250000</v>
      </c>
      <c r="K100" s="81">
        <v>6250000</v>
      </c>
      <c r="L100" s="38">
        <v>6250000</v>
      </c>
      <c r="M100" s="57">
        <f t="shared" si="14"/>
        <v>6250000</v>
      </c>
      <c r="N100" s="55"/>
      <c r="O100" s="58"/>
    </row>
    <row r="101" spans="1:15" ht="12.75" hidden="1">
      <c r="A101" s="40" t="s">
        <v>191</v>
      </c>
      <c r="B101" s="36" t="s">
        <v>192</v>
      </c>
      <c r="C101" s="38"/>
      <c r="D101" s="38"/>
      <c r="E101" s="38"/>
      <c r="F101" s="38">
        <f>G101+J101</f>
        <v>0</v>
      </c>
      <c r="G101" s="38"/>
      <c r="H101" s="38"/>
      <c r="I101" s="38"/>
      <c r="J101" s="38"/>
      <c r="K101" s="38"/>
      <c r="L101" s="38"/>
      <c r="M101" s="57">
        <f t="shared" si="14"/>
        <v>0</v>
      </c>
      <c r="N101" s="55"/>
      <c r="O101" s="61"/>
    </row>
    <row r="102" spans="1:14" s="3" customFormat="1" ht="51" hidden="1">
      <c r="A102" s="40"/>
      <c r="B102" s="78" t="s">
        <v>345</v>
      </c>
      <c r="C102" s="38"/>
      <c r="D102" s="38"/>
      <c r="E102" s="38"/>
      <c r="F102" s="38">
        <f>G102+J102</f>
        <v>0</v>
      </c>
      <c r="G102" s="38"/>
      <c r="H102" s="38"/>
      <c r="I102" s="38"/>
      <c r="J102" s="38"/>
      <c r="K102" s="38">
        <f>J102</f>
        <v>0</v>
      </c>
      <c r="L102" s="38">
        <f>K102</f>
        <v>0</v>
      </c>
      <c r="M102" s="57">
        <f t="shared" si="14"/>
        <v>0</v>
      </c>
      <c r="N102" s="55"/>
    </row>
    <row r="103" spans="1:14" s="3" customFormat="1" ht="12.75" hidden="1">
      <c r="A103" s="40" t="s">
        <v>206</v>
      </c>
      <c r="B103" s="62" t="s">
        <v>210</v>
      </c>
      <c r="C103" s="38">
        <f>C104</f>
        <v>0</v>
      </c>
      <c r="D103" s="38"/>
      <c r="E103" s="38"/>
      <c r="F103" s="38">
        <f t="shared" si="18"/>
        <v>0</v>
      </c>
      <c r="G103" s="38">
        <f>G104</f>
        <v>0</v>
      </c>
      <c r="H103" s="38">
        <f>H104</f>
        <v>0</v>
      </c>
      <c r="I103" s="38">
        <f>I104</f>
        <v>0</v>
      </c>
      <c r="J103" s="38">
        <f>J104</f>
        <v>0</v>
      </c>
      <c r="K103" s="38">
        <f>K104</f>
        <v>0</v>
      </c>
      <c r="L103" s="38"/>
      <c r="M103" s="57">
        <f t="shared" si="14"/>
        <v>0</v>
      </c>
      <c r="N103" s="55"/>
    </row>
    <row r="104" spans="1:14" s="3" customFormat="1" ht="39.75" customHeight="1" hidden="1">
      <c r="A104" s="40" t="s">
        <v>114</v>
      </c>
      <c r="B104" s="62" t="s">
        <v>166</v>
      </c>
      <c r="C104" s="38"/>
      <c r="D104" s="38"/>
      <c r="E104" s="38"/>
      <c r="F104" s="38">
        <f t="shared" si="18"/>
        <v>0</v>
      </c>
      <c r="G104" s="38"/>
      <c r="H104" s="38"/>
      <c r="I104" s="38"/>
      <c r="J104" s="38"/>
      <c r="K104" s="38"/>
      <c r="L104" s="38"/>
      <c r="M104" s="57">
        <f t="shared" si="14"/>
        <v>0</v>
      </c>
      <c r="N104" s="55"/>
    </row>
    <row r="105" spans="1:14" s="3" customFormat="1" ht="41.25" customHeight="1">
      <c r="A105" s="106" t="s">
        <v>364</v>
      </c>
      <c r="B105" s="107" t="s">
        <v>323</v>
      </c>
      <c r="C105" s="53">
        <f>C106+C108+C111+C169+C172+C181+C183</f>
        <v>786911711</v>
      </c>
      <c r="D105" s="53">
        <f>D106+D108+D111+D169+D172+D181+D183</f>
        <v>30321489</v>
      </c>
      <c r="E105" s="53">
        <f>E106+E108+E111+E169+E172+E181+E183</f>
        <v>2359684</v>
      </c>
      <c r="F105" s="53">
        <f>G105+J105</f>
        <v>6645010</v>
      </c>
      <c r="G105" s="53">
        <f aca="true" t="shared" si="20" ref="G105:L105">G106+G108+G111+G169+G172+G181+G183</f>
        <v>210829</v>
      </c>
      <c r="H105" s="53">
        <f t="shared" si="20"/>
        <v>140034</v>
      </c>
      <c r="I105" s="53">
        <f t="shared" si="20"/>
        <v>0</v>
      </c>
      <c r="J105" s="53">
        <f t="shared" si="20"/>
        <v>6434181</v>
      </c>
      <c r="K105" s="147">
        <f t="shared" si="20"/>
        <v>6434181</v>
      </c>
      <c r="L105" s="147">
        <f t="shared" si="20"/>
        <v>2716394</v>
      </c>
      <c r="M105" s="54">
        <f t="shared" si="14"/>
        <v>793556721</v>
      </c>
      <c r="N105" s="55"/>
    </row>
    <row r="106" spans="1:14" s="3" customFormat="1" ht="12.75">
      <c r="A106" s="43" t="s">
        <v>199</v>
      </c>
      <c r="B106" s="44" t="s">
        <v>200</v>
      </c>
      <c r="C106" s="37">
        <f>C107</f>
        <v>24722071</v>
      </c>
      <c r="D106" s="37">
        <f>D107</f>
        <v>16604950</v>
      </c>
      <c r="E106" s="37">
        <f>E107</f>
        <v>913555</v>
      </c>
      <c r="F106" s="38">
        <f>G106+J106</f>
        <v>285484</v>
      </c>
      <c r="G106" s="37">
        <f aca="true" t="shared" si="21" ref="G106:L106">G107</f>
        <v>0</v>
      </c>
      <c r="H106" s="37">
        <f t="shared" si="21"/>
        <v>0</v>
      </c>
      <c r="I106" s="37">
        <f t="shared" si="21"/>
        <v>0</v>
      </c>
      <c r="J106" s="37">
        <f t="shared" si="21"/>
        <v>285484</v>
      </c>
      <c r="K106" s="142">
        <f t="shared" si="21"/>
        <v>285484</v>
      </c>
      <c r="L106" s="142">
        <f t="shared" si="21"/>
        <v>0</v>
      </c>
      <c r="M106" s="57">
        <f t="shared" si="14"/>
        <v>25007555</v>
      </c>
      <c r="N106" s="55"/>
    </row>
    <row r="107" spans="1:14" s="3" customFormat="1" ht="12.75">
      <c r="A107" s="40" t="s">
        <v>76</v>
      </c>
      <c r="B107" s="60" t="s">
        <v>77</v>
      </c>
      <c r="C107" s="38">
        <f>23995744+186333+1450+49300+8599-8422+539-3587+42647+134532+29485-4839+39190+211910+39190</f>
        <v>24722071</v>
      </c>
      <c r="D107" s="38">
        <f>16393312-24360-11470+64968+153800+28700</f>
        <v>16604950</v>
      </c>
      <c r="E107" s="38">
        <f>985622-72067</f>
        <v>913555</v>
      </c>
      <c r="F107" s="38">
        <f>G107+J107</f>
        <v>285484</v>
      </c>
      <c r="G107" s="38"/>
      <c r="H107" s="38"/>
      <c r="I107" s="38"/>
      <c r="J107" s="81">
        <f>K107</f>
        <v>285484</v>
      </c>
      <c r="K107" s="81">
        <f>2348484-140000+77000-1000000-1000000</f>
        <v>285484</v>
      </c>
      <c r="L107" s="81">
        <f>1000000-1000000</f>
        <v>0</v>
      </c>
      <c r="M107" s="57">
        <f t="shared" si="14"/>
        <v>25007555</v>
      </c>
      <c r="N107" s="55"/>
    </row>
    <row r="108" spans="1:14" s="3" customFormat="1" ht="12.75">
      <c r="A108" s="9" t="s">
        <v>78</v>
      </c>
      <c r="B108" s="15" t="s">
        <v>79</v>
      </c>
      <c r="C108" s="27">
        <f>C109</f>
        <v>644483</v>
      </c>
      <c r="D108" s="27">
        <f>D109</f>
        <v>0</v>
      </c>
      <c r="E108" s="27">
        <f>E109</f>
        <v>0</v>
      </c>
      <c r="F108" s="27">
        <f>G108+J108</f>
        <v>0</v>
      </c>
      <c r="G108" s="27"/>
      <c r="H108" s="27"/>
      <c r="I108" s="27"/>
      <c r="J108" s="142">
        <f>K108</f>
        <v>0</v>
      </c>
      <c r="K108" s="142">
        <f>L108</f>
        <v>0</v>
      </c>
      <c r="L108" s="142"/>
      <c r="M108" s="26">
        <f t="shared" si="14"/>
        <v>644483</v>
      </c>
      <c r="N108" s="55"/>
    </row>
    <row r="109" spans="1:14" s="3" customFormat="1" ht="25.5">
      <c r="A109" s="9" t="s">
        <v>71</v>
      </c>
      <c r="B109" s="15" t="s">
        <v>72</v>
      </c>
      <c r="C109" s="27">
        <v>644483</v>
      </c>
      <c r="D109" s="27"/>
      <c r="E109" s="27"/>
      <c r="F109" s="27">
        <f>G109+J109</f>
        <v>0</v>
      </c>
      <c r="G109" s="27"/>
      <c r="H109" s="27"/>
      <c r="I109" s="27"/>
      <c r="J109" s="27"/>
      <c r="K109" s="27"/>
      <c r="L109" s="27"/>
      <c r="M109" s="26">
        <f aca="true" t="shared" si="22" ref="M109:M118">C109+F109</f>
        <v>644483</v>
      </c>
      <c r="N109" s="55"/>
    </row>
    <row r="110" spans="1:14" s="3" customFormat="1" ht="100.5" customHeight="1">
      <c r="A110" s="9"/>
      <c r="B110" s="98" t="s">
        <v>304</v>
      </c>
      <c r="C110" s="27">
        <f>C109</f>
        <v>644483</v>
      </c>
      <c r="D110" s="27"/>
      <c r="E110" s="27"/>
      <c r="F110" s="27"/>
      <c r="G110" s="27"/>
      <c r="H110" s="27"/>
      <c r="I110" s="27"/>
      <c r="J110" s="27"/>
      <c r="K110" s="27"/>
      <c r="L110" s="27"/>
      <c r="M110" s="26">
        <f t="shared" si="22"/>
        <v>644483</v>
      </c>
      <c r="N110" s="55"/>
    </row>
    <row r="111" spans="1:14" s="3" customFormat="1" ht="25.5">
      <c r="A111" s="40" t="s">
        <v>98</v>
      </c>
      <c r="B111" s="62" t="s">
        <v>150</v>
      </c>
      <c r="C111" s="38">
        <f>C112+C114+C116+C118+C121+C124+C126+C128+C130+C132+C134+C136+C138+C140+C142+C144+C146+C148+C150+C152+C154+C156+C158+C163+C164+C166+C167+C165+C160+C161+C162</f>
        <v>696007986</v>
      </c>
      <c r="D111" s="38">
        <f>D112+D114+D116+D118+D121+D124+D126+D128+D130+D132+D134+D136+D138+D140+D142+D144+D146+D148+D150+D152+D154+D156+D158+D163+D164+D166+D167+D165+D160+D161+D162</f>
        <v>13716539</v>
      </c>
      <c r="E111" s="38">
        <f>E112+E114+E116+E118+E121+E124+E126+E128+E130+E132+E134+E136+E138+E140+E142+E144+E146+E148+E150+E152+E154+E156+E158+E163+E164+E166+E167+E165+E160+E161+E162</f>
        <v>1446129</v>
      </c>
      <c r="F111" s="38">
        <f>G111+J111</f>
        <v>1042852</v>
      </c>
      <c r="G111" s="38">
        <f aca="true" t="shared" si="23" ref="G111:L111">G112+G114+G116+G118+G121+G124+G126+G128+G130+G132+G134+G136+G138+G140+G142+G144+G146+G148+G150+G152+G154+G156+G158+G163+G164+G166+G167+G165+G160+G161+G162</f>
        <v>210829</v>
      </c>
      <c r="H111" s="38">
        <f t="shared" si="23"/>
        <v>140034</v>
      </c>
      <c r="I111" s="38">
        <f t="shared" si="23"/>
        <v>0</v>
      </c>
      <c r="J111" s="38">
        <f t="shared" si="23"/>
        <v>832023</v>
      </c>
      <c r="K111" s="38">
        <f t="shared" si="23"/>
        <v>832023</v>
      </c>
      <c r="L111" s="38">
        <f t="shared" si="23"/>
        <v>216394</v>
      </c>
      <c r="M111" s="57">
        <f t="shared" si="22"/>
        <v>697050838</v>
      </c>
      <c r="N111" s="55"/>
    </row>
    <row r="112" spans="1:14" s="3" customFormat="1" ht="214.5" customHeight="1">
      <c r="A112" s="9" t="s">
        <v>152</v>
      </c>
      <c r="B112" s="41" t="s">
        <v>277</v>
      </c>
      <c r="C112" s="27">
        <f>86463348+2800000</f>
        <v>89263348</v>
      </c>
      <c r="D112" s="27"/>
      <c r="E112" s="27"/>
      <c r="F112" s="27">
        <f>G112+J112</f>
        <v>0</v>
      </c>
      <c r="G112" s="27"/>
      <c r="H112" s="27"/>
      <c r="I112" s="27"/>
      <c r="J112" s="27"/>
      <c r="K112" s="27"/>
      <c r="L112" s="27"/>
      <c r="M112" s="26">
        <f t="shared" si="22"/>
        <v>89263348</v>
      </c>
      <c r="N112" s="55"/>
    </row>
    <row r="113" spans="1:14" s="3" customFormat="1" ht="97.5" customHeight="1">
      <c r="A113" s="9"/>
      <c r="B113" s="98" t="s">
        <v>383</v>
      </c>
      <c r="C113" s="27">
        <f>C112</f>
        <v>89263348</v>
      </c>
      <c r="D113" s="27"/>
      <c r="E113" s="27"/>
      <c r="F113" s="27">
        <f>G113+J113</f>
        <v>0</v>
      </c>
      <c r="G113" s="27">
        <f>G112</f>
        <v>0</v>
      </c>
      <c r="H113" s="27"/>
      <c r="I113" s="27"/>
      <c r="J113" s="27"/>
      <c r="K113" s="27"/>
      <c r="L113" s="27"/>
      <c r="M113" s="26">
        <f t="shared" si="22"/>
        <v>89263348</v>
      </c>
      <c r="N113" s="55"/>
    </row>
    <row r="114" spans="1:14" s="3" customFormat="1" ht="186" customHeight="1">
      <c r="A114" s="9" t="s">
        <v>155</v>
      </c>
      <c r="B114" s="41" t="s">
        <v>278</v>
      </c>
      <c r="C114" s="27">
        <f>143027+983+1793</f>
        <v>145803</v>
      </c>
      <c r="D114" s="27"/>
      <c r="E114" s="27"/>
      <c r="F114" s="27">
        <f>G114+J114</f>
        <v>0</v>
      </c>
      <c r="G114" s="27"/>
      <c r="H114" s="27"/>
      <c r="I114" s="27"/>
      <c r="J114" s="27"/>
      <c r="K114" s="27"/>
      <c r="L114" s="27"/>
      <c r="M114" s="26">
        <f t="shared" si="22"/>
        <v>145803</v>
      </c>
      <c r="N114" s="55"/>
    </row>
    <row r="115" spans="1:14" s="3" customFormat="1" ht="60.75" customHeight="1">
      <c r="A115" s="9"/>
      <c r="B115" s="98" t="s">
        <v>305</v>
      </c>
      <c r="C115" s="27">
        <f>C114</f>
        <v>145803</v>
      </c>
      <c r="D115" s="27"/>
      <c r="E115" s="27"/>
      <c r="F115" s="27"/>
      <c r="G115" s="27"/>
      <c r="H115" s="27"/>
      <c r="I115" s="27"/>
      <c r="J115" s="27"/>
      <c r="K115" s="27"/>
      <c r="L115" s="27"/>
      <c r="M115" s="26">
        <f t="shared" si="22"/>
        <v>145803</v>
      </c>
      <c r="N115" s="55"/>
    </row>
    <row r="116" spans="1:14" s="3" customFormat="1" ht="202.5" customHeight="1">
      <c r="A116" s="9" t="s">
        <v>156</v>
      </c>
      <c r="B116" s="41" t="s">
        <v>279</v>
      </c>
      <c r="C116" s="27">
        <f>1191473+70000</f>
        <v>1261473</v>
      </c>
      <c r="D116" s="27"/>
      <c r="E116" s="27"/>
      <c r="F116" s="27">
        <f>G116+J116</f>
        <v>66000</v>
      </c>
      <c r="G116" s="27"/>
      <c r="H116" s="27"/>
      <c r="I116" s="27"/>
      <c r="J116" s="27">
        <f>156000-90000</f>
        <v>66000</v>
      </c>
      <c r="K116" s="27">
        <f>J116</f>
        <v>66000</v>
      </c>
      <c r="L116" s="27">
        <f>K116</f>
        <v>66000</v>
      </c>
      <c r="M116" s="26">
        <f t="shared" si="22"/>
        <v>1327473</v>
      </c>
      <c r="N116" s="55"/>
    </row>
    <row r="117" spans="1:14" s="3" customFormat="1" ht="155.25" customHeight="1">
      <c r="A117" s="9"/>
      <c r="B117" s="98" t="s">
        <v>58</v>
      </c>
      <c r="C117" s="27">
        <f>C116</f>
        <v>1261473</v>
      </c>
      <c r="D117" s="27">
        <f aca="true" t="shared" si="24" ref="D117:L117">D116</f>
        <v>0</v>
      </c>
      <c r="E117" s="27">
        <f t="shared" si="24"/>
        <v>0</v>
      </c>
      <c r="F117" s="27">
        <f t="shared" si="24"/>
        <v>66000</v>
      </c>
      <c r="G117" s="27">
        <f t="shared" si="24"/>
        <v>0</v>
      </c>
      <c r="H117" s="27">
        <f t="shared" si="24"/>
        <v>0</v>
      </c>
      <c r="I117" s="27">
        <f t="shared" si="24"/>
        <v>0</v>
      </c>
      <c r="J117" s="27">
        <f t="shared" si="24"/>
        <v>66000</v>
      </c>
      <c r="K117" s="27">
        <f t="shared" si="24"/>
        <v>66000</v>
      </c>
      <c r="L117" s="27">
        <f t="shared" si="24"/>
        <v>66000</v>
      </c>
      <c r="M117" s="26">
        <f t="shared" si="22"/>
        <v>1327473</v>
      </c>
      <c r="N117" s="55"/>
    </row>
    <row r="118" spans="1:14" s="3" customFormat="1" ht="337.5" customHeight="1">
      <c r="A118" s="87" t="s">
        <v>157</v>
      </c>
      <c r="B118" s="88" t="s">
        <v>53</v>
      </c>
      <c r="C118" s="89">
        <f>9899560+240000</f>
        <v>10139560</v>
      </c>
      <c r="D118" s="89"/>
      <c r="E118" s="89"/>
      <c r="F118" s="89">
        <f>G118+J118</f>
        <v>0</v>
      </c>
      <c r="G118" s="89"/>
      <c r="H118" s="89"/>
      <c r="I118" s="89"/>
      <c r="J118" s="89"/>
      <c r="K118" s="89"/>
      <c r="L118" s="89"/>
      <c r="M118" s="83">
        <f t="shared" si="22"/>
        <v>10139560</v>
      </c>
      <c r="N118" s="55"/>
    </row>
    <row r="119" spans="1:14" s="3" customFormat="1" ht="237" customHeight="1">
      <c r="A119" s="84"/>
      <c r="B119" s="90" t="s">
        <v>54</v>
      </c>
      <c r="C119" s="86"/>
      <c r="D119" s="86"/>
      <c r="E119" s="86"/>
      <c r="F119" s="86"/>
      <c r="G119" s="86"/>
      <c r="H119" s="86"/>
      <c r="I119" s="86"/>
      <c r="J119" s="86"/>
      <c r="K119" s="86"/>
      <c r="L119" s="86"/>
      <c r="M119" s="82"/>
      <c r="N119" s="55"/>
    </row>
    <row r="120" spans="1:14" s="3" customFormat="1" ht="102" customHeight="1">
      <c r="A120" s="9"/>
      <c r="B120" s="98" t="s">
        <v>56</v>
      </c>
      <c r="C120" s="27">
        <f>C118</f>
        <v>10139560</v>
      </c>
      <c r="D120" s="27"/>
      <c r="E120" s="27"/>
      <c r="F120" s="27">
        <f>G120+J120</f>
        <v>0</v>
      </c>
      <c r="G120" s="27">
        <f>G118</f>
        <v>0</v>
      </c>
      <c r="H120" s="27"/>
      <c r="I120" s="27"/>
      <c r="J120" s="27"/>
      <c r="K120" s="27"/>
      <c r="L120" s="27"/>
      <c r="M120" s="26">
        <f aca="true" t="shared" si="25" ref="M120:M151">C120+F120</f>
        <v>10139560</v>
      </c>
      <c r="N120" s="55"/>
    </row>
    <row r="121" spans="1:14" s="3" customFormat="1" ht="384">
      <c r="A121" s="87" t="s">
        <v>158</v>
      </c>
      <c r="B121" s="88" t="s">
        <v>144</v>
      </c>
      <c r="C121" s="89">
        <f>4279+206+499</f>
        <v>4984</v>
      </c>
      <c r="D121" s="89"/>
      <c r="E121" s="89"/>
      <c r="F121" s="89">
        <f>G121+J121</f>
        <v>0</v>
      </c>
      <c r="G121" s="89"/>
      <c r="H121" s="89"/>
      <c r="I121" s="89"/>
      <c r="J121" s="89"/>
      <c r="K121" s="89"/>
      <c r="L121" s="89"/>
      <c r="M121" s="83">
        <f t="shared" si="25"/>
        <v>4984</v>
      </c>
      <c r="N121" s="55"/>
    </row>
    <row r="122" spans="1:14" s="3" customFormat="1" ht="48" customHeight="1">
      <c r="A122" s="84"/>
      <c r="B122" s="85" t="s">
        <v>145</v>
      </c>
      <c r="C122" s="86"/>
      <c r="D122" s="86"/>
      <c r="E122" s="86"/>
      <c r="F122" s="86">
        <f>G122+J122</f>
        <v>0</v>
      </c>
      <c r="G122" s="86"/>
      <c r="H122" s="86"/>
      <c r="I122" s="86"/>
      <c r="J122" s="86"/>
      <c r="K122" s="86"/>
      <c r="L122" s="86"/>
      <c r="M122" s="82">
        <f t="shared" si="25"/>
        <v>0</v>
      </c>
      <c r="N122" s="55"/>
    </row>
    <row r="123" spans="1:14" s="3" customFormat="1" ht="56.25" customHeight="1">
      <c r="A123" s="9"/>
      <c r="B123" s="98" t="s">
        <v>305</v>
      </c>
      <c r="C123" s="27">
        <f>C121</f>
        <v>4984</v>
      </c>
      <c r="D123" s="27"/>
      <c r="E123" s="27"/>
      <c r="F123" s="27"/>
      <c r="G123" s="27"/>
      <c r="H123" s="27"/>
      <c r="I123" s="27"/>
      <c r="J123" s="27"/>
      <c r="K123" s="27"/>
      <c r="L123" s="27"/>
      <c r="M123" s="26">
        <f t="shared" si="25"/>
        <v>4984</v>
      </c>
      <c r="N123" s="55"/>
    </row>
    <row r="124" spans="1:14" s="3" customFormat="1" ht="90" customHeight="1">
      <c r="A124" s="9" t="s">
        <v>159</v>
      </c>
      <c r="B124" s="42" t="s">
        <v>238</v>
      </c>
      <c r="C124" s="27">
        <f>3555049+160000</f>
        <v>3715049</v>
      </c>
      <c r="D124" s="27"/>
      <c r="E124" s="27"/>
      <c r="F124" s="27">
        <f>G124+J124</f>
        <v>0</v>
      </c>
      <c r="G124" s="27"/>
      <c r="H124" s="27"/>
      <c r="I124" s="27"/>
      <c r="J124" s="27"/>
      <c r="K124" s="27"/>
      <c r="L124" s="27"/>
      <c r="M124" s="26">
        <f t="shared" si="25"/>
        <v>3715049</v>
      </c>
      <c r="N124" s="55"/>
    </row>
    <row r="125" spans="1:14" s="3" customFormat="1" ht="90" customHeight="1">
      <c r="A125" s="9"/>
      <c r="B125" s="98" t="s">
        <v>56</v>
      </c>
      <c r="C125" s="27">
        <f>C124</f>
        <v>3715049</v>
      </c>
      <c r="D125" s="27"/>
      <c r="E125" s="27"/>
      <c r="F125" s="27">
        <f>G125+J125</f>
        <v>0</v>
      </c>
      <c r="G125" s="27">
        <f>G124</f>
        <v>0</v>
      </c>
      <c r="H125" s="27"/>
      <c r="I125" s="27"/>
      <c r="J125" s="27"/>
      <c r="K125" s="27"/>
      <c r="L125" s="27"/>
      <c r="M125" s="26">
        <f t="shared" si="25"/>
        <v>3715049</v>
      </c>
      <c r="N125" s="55"/>
    </row>
    <row r="126" spans="1:14" s="3" customFormat="1" ht="84">
      <c r="A126" s="9" t="s">
        <v>160</v>
      </c>
      <c r="B126" s="42" t="s">
        <v>239</v>
      </c>
      <c r="C126" s="27">
        <f>5232+256+499</f>
        <v>5987</v>
      </c>
      <c r="D126" s="27"/>
      <c r="E126" s="27"/>
      <c r="F126" s="27">
        <f>G126+J126</f>
        <v>0</v>
      </c>
      <c r="G126" s="27"/>
      <c r="H126" s="27"/>
      <c r="I126" s="27"/>
      <c r="J126" s="27"/>
      <c r="K126" s="27"/>
      <c r="L126" s="27"/>
      <c r="M126" s="26">
        <f t="shared" si="25"/>
        <v>5987</v>
      </c>
      <c r="N126" s="55"/>
    </row>
    <row r="127" spans="1:14" s="3" customFormat="1" ht="53.25" customHeight="1">
      <c r="A127" s="9"/>
      <c r="B127" s="98" t="s">
        <v>305</v>
      </c>
      <c r="C127" s="27">
        <f>C126</f>
        <v>5987</v>
      </c>
      <c r="D127" s="27"/>
      <c r="E127" s="27"/>
      <c r="F127" s="27"/>
      <c r="G127" s="27"/>
      <c r="H127" s="27"/>
      <c r="I127" s="27"/>
      <c r="J127" s="27"/>
      <c r="K127" s="27"/>
      <c r="L127" s="27"/>
      <c r="M127" s="26">
        <f t="shared" si="25"/>
        <v>5987</v>
      </c>
      <c r="N127" s="55"/>
    </row>
    <row r="128" spans="1:14" s="3" customFormat="1" ht="72" customHeight="1">
      <c r="A128" s="9" t="s">
        <v>161</v>
      </c>
      <c r="B128" s="42" t="s">
        <v>240</v>
      </c>
      <c r="C128" s="27">
        <f>81101+20000</f>
        <v>101101</v>
      </c>
      <c r="D128" s="27"/>
      <c r="E128" s="27"/>
      <c r="F128" s="27">
        <f aca="true" t="shared" si="26" ref="F128:F136">G128+J128</f>
        <v>0</v>
      </c>
      <c r="G128" s="27"/>
      <c r="H128" s="27"/>
      <c r="I128" s="27"/>
      <c r="J128" s="27"/>
      <c r="K128" s="27"/>
      <c r="L128" s="27"/>
      <c r="M128" s="26">
        <f t="shared" si="25"/>
        <v>101101</v>
      </c>
      <c r="N128" s="55"/>
    </row>
    <row r="129" spans="1:14" s="3" customFormat="1" ht="180.75" customHeight="1">
      <c r="A129" s="9"/>
      <c r="B129" s="98" t="s">
        <v>58</v>
      </c>
      <c r="C129" s="27">
        <f>C128</f>
        <v>101101</v>
      </c>
      <c r="D129" s="27"/>
      <c r="E129" s="27"/>
      <c r="F129" s="27">
        <f t="shared" si="26"/>
        <v>0</v>
      </c>
      <c r="G129" s="27"/>
      <c r="H129" s="27"/>
      <c r="I129" s="27"/>
      <c r="J129" s="27"/>
      <c r="K129" s="27"/>
      <c r="L129" s="27"/>
      <c r="M129" s="26">
        <f t="shared" si="25"/>
        <v>101101</v>
      </c>
      <c r="N129" s="55"/>
    </row>
    <row r="130" spans="1:14" s="3" customFormat="1" ht="25.5">
      <c r="A130" s="9" t="s">
        <v>69</v>
      </c>
      <c r="B130" s="15" t="s">
        <v>70</v>
      </c>
      <c r="C130" s="27">
        <f>4736159+600000</f>
        <v>5336159</v>
      </c>
      <c r="D130" s="27"/>
      <c r="E130" s="27"/>
      <c r="F130" s="27">
        <f t="shared" si="26"/>
        <v>0</v>
      </c>
      <c r="G130" s="27"/>
      <c r="H130" s="27"/>
      <c r="I130" s="27"/>
      <c r="J130" s="27"/>
      <c r="K130" s="27"/>
      <c r="L130" s="27"/>
      <c r="M130" s="26">
        <f t="shared" si="25"/>
        <v>5336159</v>
      </c>
      <c r="N130" s="55"/>
    </row>
    <row r="131" spans="1:14" s="3" customFormat="1" ht="189.75" customHeight="1">
      <c r="A131" s="9"/>
      <c r="B131" s="98" t="s">
        <v>58</v>
      </c>
      <c r="C131" s="27">
        <f>C130</f>
        <v>5336159</v>
      </c>
      <c r="D131" s="27"/>
      <c r="E131" s="27"/>
      <c r="F131" s="27">
        <f t="shared" si="26"/>
        <v>0</v>
      </c>
      <c r="G131" s="27"/>
      <c r="H131" s="27"/>
      <c r="I131" s="27"/>
      <c r="J131" s="27"/>
      <c r="K131" s="27"/>
      <c r="L131" s="27"/>
      <c r="M131" s="26">
        <f t="shared" si="25"/>
        <v>5336159</v>
      </c>
      <c r="N131" s="55"/>
    </row>
    <row r="132" spans="1:14" s="3" customFormat="1" ht="127.5">
      <c r="A132" s="9" t="s">
        <v>147</v>
      </c>
      <c r="B132" s="15" t="s">
        <v>55</v>
      </c>
      <c r="C132" s="27">
        <f>3732018+300000</f>
        <v>4032018</v>
      </c>
      <c r="D132" s="27"/>
      <c r="E132" s="27"/>
      <c r="F132" s="27">
        <f t="shared" si="26"/>
        <v>0</v>
      </c>
      <c r="G132" s="27"/>
      <c r="H132" s="27"/>
      <c r="I132" s="27"/>
      <c r="J132" s="27"/>
      <c r="K132" s="27"/>
      <c r="L132" s="27"/>
      <c r="M132" s="26">
        <f t="shared" si="25"/>
        <v>4032018</v>
      </c>
      <c r="N132" s="55"/>
    </row>
    <row r="133" spans="1:14" s="3" customFormat="1" ht="54.75" customHeight="1">
      <c r="A133" s="9"/>
      <c r="B133" s="98" t="s">
        <v>56</v>
      </c>
      <c r="C133" s="27">
        <f>C132</f>
        <v>4032018</v>
      </c>
      <c r="D133" s="27"/>
      <c r="E133" s="27"/>
      <c r="F133" s="27">
        <f t="shared" si="26"/>
        <v>0</v>
      </c>
      <c r="G133" s="27">
        <f>G132</f>
        <v>0</v>
      </c>
      <c r="H133" s="27"/>
      <c r="I133" s="27"/>
      <c r="J133" s="27"/>
      <c r="K133" s="27"/>
      <c r="L133" s="27"/>
      <c r="M133" s="26">
        <f t="shared" si="25"/>
        <v>4032018</v>
      </c>
      <c r="N133" s="55"/>
    </row>
    <row r="134" spans="1:14" s="3" customFormat="1" ht="140.25">
      <c r="A134" s="9" t="s">
        <v>148</v>
      </c>
      <c r="B134" s="15" t="s">
        <v>49</v>
      </c>
      <c r="C134" s="27">
        <f>18817+1631+3409</f>
        <v>23857</v>
      </c>
      <c r="D134" s="27"/>
      <c r="E134" s="27"/>
      <c r="F134" s="27">
        <f t="shared" si="26"/>
        <v>0</v>
      </c>
      <c r="G134" s="27"/>
      <c r="H134" s="27"/>
      <c r="I134" s="27"/>
      <c r="J134" s="27"/>
      <c r="K134" s="27"/>
      <c r="L134" s="27"/>
      <c r="M134" s="26">
        <f t="shared" si="25"/>
        <v>23857</v>
      </c>
      <c r="N134" s="55"/>
    </row>
    <row r="135" spans="1:14" s="3" customFormat="1" ht="57.75" customHeight="1">
      <c r="A135" s="9"/>
      <c r="B135" s="98" t="s">
        <v>305</v>
      </c>
      <c r="C135" s="27">
        <f>C134</f>
        <v>23857</v>
      </c>
      <c r="D135" s="27"/>
      <c r="E135" s="27"/>
      <c r="F135" s="27">
        <f t="shared" si="26"/>
        <v>0</v>
      </c>
      <c r="G135" s="27"/>
      <c r="H135" s="27"/>
      <c r="I135" s="27"/>
      <c r="J135" s="27"/>
      <c r="K135" s="27"/>
      <c r="L135" s="27"/>
      <c r="M135" s="26">
        <f t="shared" si="25"/>
        <v>23857</v>
      </c>
      <c r="N135" s="55"/>
    </row>
    <row r="136" spans="1:14" s="3" customFormat="1" ht="24.75" customHeight="1">
      <c r="A136" s="9" t="s">
        <v>141</v>
      </c>
      <c r="B136" s="15" t="s">
        <v>295</v>
      </c>
      <c r="C136" s="27">
        <f>6267947-910000-150000</f>
        <v>5207947</v>
      </c>
      <c r="D136" s="27"/>
      <c r="E136" s="27"/>
      <c r="F136" s="27">
        <f t="shared" si="26"/>
        <v>0</v>
      </c>
      <c r="G136" s="27"/>
      <c r="H136" s="27"/>
      <c r="I136" s="27"/>
      <c r="J136" s="27"/>
      <c r="K136" s="27"/>
      <c r="L136" s="27"/>
      <c r="M136" s="26">
        <f t="shared" si="25"/>
        <v>5207947</v>
      </c>
      <c r="N136" s="55"/>
    </row>
    <row r="137" spans="1:14" s="3" customFormat="1" ht="58.5" customHeight="1">
      <c r="A137" s="9"/>
      <c r="B137" s="98" t="s">
        <v>306</v>
      </c>
      <c r="C137" s="27">
        <f>C136</f>
        <v>5207947</v>
      </c>
      <c r="D137" s="27"/>
      <c r="E137" s="27"/>
      <c r="F137" s="27"/>
      <c r="G137" s="27"/>
      <c r="H137" s="27"/>
      <c r="I137" s="27"/>
      <c r="J137" s="27"/>
      <c r="K137" s="27"/>
      <c r="L137" s="27"/>
      <c r="M137" s="26">
        <f t="shared" si="25"/>
        <v>5207947</v>
      </c>
      <c r="N137" s="55"/>
    </row>
    <row r="138" spans="1:14" s="3" customFormat="1" ht="27" customHeight="1">
      <c r="A138" s="9" t="s">
        <v>142</v>
      </c>
      <c r="B138" s="15" t="s">
        <v>68</v>
      </c>
      <c r="C138" s="27">
        <f>91242957-12689000-230000</f>
        <v>78323957</v>
      </c>
      <c r="D138" s="27"/>
      <c r="E138" s="27"/>
      <c r="F138" s="27">
        <f>G138+J138</f>
        <v>0</v>
      </c>
      <c r="G138" s="27"/>
      <c r="H138" s="27"/>
      <c r="I138" s="27"/>
      <c r="J138" s="27"/>
      <c r="K138" s="27"/>
      <c r="L138" s="27"/>
      <c r="M138" s="26">
        <f t="shared" si="25"/>
        <v>78323957</v>
      </c>
      <c r="N138" s="55"/>
    </row>
    <row r="139" spans="1:14" s="3" customFormat="1" ht="54.75" customHeight="1">
      <c r="A139" s="9"/>
      <c r="B139" s="98" t="s">
        <v>57</v>
      </c>
      <c r="C139" s="27">
        <f>C138</f>
        <v>78323957</v>
      </c>
      <c r="D139" s="27"/>
      <c r="E139" s="27"/>
      <c r="F139" s="27"/>
      <c r="G139" s="27"/>
      <c r="H139" s="27"/>
      <c r="I139" s="27"/>
      <c r="J139" s="27"/>
      <c r="K139" s="27"/>
      <c r="L139" s="27"/>
      <c r="M139" s="26">
        <f t="shared" si="25"/>
        <v>78323957</v>
      </c>
      <c r="N139" s="55"/>
    </row>
    <row r="140" spans="1:14" s="3" customFormat="1" ht="16.5" customHeight="1">
      <c r="A140" s="9" t="s">
        <v>143</v>
      </c>
      <c r="B140" s="15" t="s">
        <v>165</v>
      </c>
      <c r="C140" s="27">
        <f>243513649+9910000-1163612</f>
        <v>252260037</v>
      </c>
      <c r="D140" s="27"/>
      <c r="E140" s="27"/>
      <c r="F140" s="27">
        <f>G140+J140</f>
        <v>0</v>
      </c>
      <c r="G140" s="27"/>
      <c r="H140" s="27"/>
      <c r="I140" s="27"/>
      <c r="J140" s="27"/>
      <c r="K140" s="27"/>
      <c r="L140" s="27"/>
      <c r="M140" s="26">
        <f t="shared" si="25"/>
        <v>252260037</v>
      </c>
      <c r="N140" s="55"/>
    </row>
    <row r="141" spans="1:14" s="3" customFormat="1" ht="59.25" customHeight="1">
      <c r="A141" s="9"/>
      <c r="B141" s="98" t="s">
        <v>57</v>
      </c>
      <c r="C141" s="27">
        <f>C140</f>
        <v>252260037</v>
      </c>
      <c r="D141" s="27"/>
      <c r="E141" s="27"/>
      <c r="F141" s="27"/>
      <c r="G141" s="27"/>
      <c r="H141" s="27"/>
      <c r="I141" s="27"/>
      <c r="J141" s="27"/>
      <c r="K141" s="27"/>
      <c r="L141" s="27"/>
      <c r="M141" s="26">
        <f t="shared" si="25"/>
        <v>252260037</v>
      </c>
      <c r="N141" s="55"/>
    </row>
    <row r="142" spans="1:14" s="3" customFormat="1" ht="28.5" customHeight="1">
      <c r="A142" s="9" t="s">
        <v>126</v>
      </c>
      <c r="B142" s="71" t="s">
        <v>235</v>
      </c>
      <c r="C142" s="27">
        <f>24609614-1209500-730000</f>
        <v>22670114</v>
      </c>
      <c r="D142" s="27"/>
      <c r="E142" s="27"/>
      <c r="F142" s="27">
        <f>G142+J142</f>
        <v>0</v>
      </c>
      <c r="G142" s="27"/>
      <c r="H142" s="27"/>
      <c r="I142" s="27"/>
      <c r="J142" s="27"/>
      <c r="K142" s="27"/>
      <c r="L142" s="27"/>
      <c r="M142" s="26">
        <f t="shared" si="25"/>
        <v>22670114</v>
      </c>
      <c r="N142" s="55"/>
    </row>
    <row r="143" spans="1:14" s="3" customFormat="1" ht="57.75" customHeight="1">
      <c r="A143" s="9"/>
      <c r="B143" s="98" t="s">
        <v>57</v>
      </c>
      <c r="C143" s="27">
        <f>C142</f>
        <v>22670114</v>
      </c>
      <c r="D143" s="27"/>
      <c r="E143" s="27"/>
      <c r="F143" s="27"/>
      <c r="G143" s="27"/>
      <c r="H143" s="27"/>
      <c r="I143" s="27"/>
      <c r="J143" s="27"/>
      <c r="K143" s="27"/>
      <c r="L143" s="27"/>
      <c r="M143" s="26">
        <f t="shared" si="25"/>
        <v>22670114</v>
      </c>
      <c r="N143" s="55"/>
    </row>
    <row r="144" spans="1:14" s="3" customFormat="1" ht="27.75" customHeight="1">
      <c r="A144" s="9" t="s">
        <v>168</v>
      </c>
      <c r="B144" s="15" t="s">
        <v>162</v>
      </c>
      <c r="C144" s="27">
        <f>56940047-1543000+473612</f>
        <v>55870659</v>
      </c>
      <c r="D144" s="27"/>
      <c r="E144" s="27"/>
      <c r="F144" s="27">
        <f>G144+J144</f>
        <v>0</v>
      </c>
      <c r="G144" s="27"/>
      <c r="H144" s="27"/>
      <c r="I144" s="27"/>
      <c r="J144" s="27"/>
      <c r="K144" s="27"/>
      <c r="L144" s="27"/>
      <c r="M144" s="26">
        <f t="shared" si="25"/>
        <v>55870659</v>
      </c>
      <c r="N144" s="55"/>
    </row>
    <row r="145" spans="1:14" s="3" customFormat="1" ht="59.25" customHeight="1">
      <c r="A145" s="9"/>
      <c r="B145" s="98" t="s">
        <v>57</v>
      </c>
      <c r="C145" s="27">
        <f>C144</f>
        <v>55870659</v>
      </c>
      <c r="D145" s="27"/>
      <c r="E145" s="27"/>
      <c r="F145" s="27"/>
      <c r="G145" s="27"/>
      <c r="H145" s="27"/>
      <c r="I145" s="27"/>
      <c r="J145" s="27"/>
      <c r="K145" s="27"/>
      <c r="L145" s="27"/>
      <c r="M145" s="26">
        <f t="shared" si="25"/>
        <v>55870659</v>
      </c>
      <c r="N145" s="55"/>
    </row>
    <row r="146" spans="1:14" s="3" customFormat="1" ht="25.5" customHeight="1">
      <c r="A146" s="9" t="s">
        <v>274</v>
      </c>
      <c r="B146" s="15" t="s">
        <v>275</v>
      </c>
      <c r="C146" s="27">
        <f>8655542-877500</f>
        <v>7778042</v>
      </c>
      <c r="D146" s="27"/>
      <c r="E146" s="27"/>
      <c r="F146" s="27"/>
      <c r="G146" s="27"/>
      <c r="H146" s="27"/>
      <c r="I146" s="27"/>
      <c r="J146" s="27"/>
      <c r="K146" s="27"/>
      <c r="L146" s="27"/>
      <c r="M146" s="26">
        <f t="shared" si="25"/>
        <v>7778042</v>
      </c>
      <c r="N146" s="55"/>
    </row>
    <row r="147" spans="1:15" ht="60" customHeight="1">
      <c r="A147" s="9"/>
      <c r="B147" s="98" t="s">
        <v>57</v>
      </c>
      <c r="C147" s="27">
        <f>C146</f>
        <v>7778042</v>
      </c>
      <c r="D147" s="27"/>
      <c r="E147" s="27"/>
      <c r="F147" s="27"/>
      <c r="G147" s="27"/>
      <c r="H147" s="27"/>
      <c r="I147" s="27"/>
      <c r="J147" s="27"/>
      <c r="K147" s="27"/>
      <c r="L147" s="27"/>
      <c r="M147" s="26">
        <f t="shared" si="25"/>
        <v>7778042</v>
      </c>
      <c r="N147" s="55"/>
      <c r="O147" s="61"/>
    </row>
    <row r="148" spans="1:15" ht="12.75">
      <c r="A148" s="9" t="s">
        <v>236</v>
      </c>
      <c r="B148" s="15" t="s">
        <v>237</v>
      </c>
      <c r="C148" s="27">
        <f>951380+42000</f>
        <v>993380</v>
      </c>
      <c r="D148" s="27"/>
      <c r="E148" s="27"/>
      <c r="F148" s="27"/>
      <c r="G148" s="27"/>
      <c r="H148" s="27"/>
      <c r="I148" s="27"/>
      <c r="J148" s="27"/>
      <c r="K148" s="27"/>
      <c r="L148" s="27"/>
      <c r="M148" s="26">
        <f t="shared" si="25"/>
        <v>993380</v>
      </c>
      <c r="N148" s="55"/>
      <c r="O148" s="61"/>
    </row>
    <row r="149" spans="1:14" s="3" customFormat="1" ht="54.75" customHeight="1">
      <c r="A149" s="9"/>
      <c r="B149" s="98" t="s">
        <v>57</v>
      </c>
      <c r="C149" s="27">
        <f>C148</f>
        <v>993380</v>
      </c>
      <c r="D149" s="27"/>
      <c r="E149" s="27"/>
      <c r="F149" s="27"/>
      <c r="G149" s="27"/>
      <c r="H149" s="27"/>
      <c r="I149" s="27"/>
      <c r="J149" s="27"/>
      <c r="K149" s="27"/>
      <c r="L149" s="27"/>
      <c r="M149" s="26">
        <f t="shared" si="25"/>
        <v>993380</v>
      </c>
      <c r="N149" s="55"/>
    </row>
    <row r="150" spans="1:14" s="3" customFormat="1" ht="28.5" customHeight="1">
      <c r="A150" s="9" t="s">
        <v>163</v>
      </c>
      <c r="B150" s="15" t="s">
        <v>241</v>
      </c>
      <c r="C150" s="27">
        <f>11749271+1097000</f>
        <v>12846271</v>
      </c>
      <c r="D150" s="27"/>
      <c r="E150" s="27"/>
      <c r="F150" s="27">
        <f>G150+J150</f>
        <v>0</v>
      </c>
      <c r="G150" s="27"/>
      <c r="H150" s="27"/>
      <c r="I150" s="27"/>
      <c r="J150" s="27"/>
      <c r="K150" s="27"/>
      <c r="L150" s="27"/>
      <c r="M150" s="26">
        <f t="shared" si="25"/>
        <v>12846271</v>
      </c>
      <c r="N150" s="55"/>
    </row>
    <row r="151" spans="1:15" ht="61.5" customHeight="1">
      <c r="A151" s="9"/>
      <c r="B151" s="98" t="s">
        <v>57</v>
      </c>
      <c r="C151" s="27">
        <f>C150</f>
        <v>12846271</v>
      </c>
      <c r="D151" s="27"/>
      <c r="E151" s="27"/>
      <c r="F151" s="27"/>
      <c r="G151" s="27"/>
      <c r="H151" s="27"/>
      <c r="I151" s="27"/>
      <c r="J151" s="27"/>
      <c r="K151" s="27"/>
      <c r="L151" s="27"/>
      <c r="M151" s="26">
        <f t="shared" si="25"/>
        <v>12846271</v>
      </c>
      <c r="N151" s="55"/>
      <c r="O151" s="61"/>
    </row>
    <row r="152" spans="1:15" ht="38.25">
      <c r="A152" s="9" t="s">
        <v>127</v>
      </c>
      <c r="B152" s="71" t="s">
        <v>232</v>
      </c>
      <c r="C152" s="27">
        <f>44601225-3500000</f>
        <v>41101225</v>
      </c>
      <c r="D152" s="27"/>
      <c r="E152" s="27"/>
      <c r="F152" s="27">
        <f>G152+J152</f>
        <v>0</v>
      </c>
      <c r="G152" s="27"/>
      <c r="H152" s="27"/>
      <c r="I152" s="27"/>
      <c r="J152" s="27"/>
      <c r="K152" s="27"/>
      <c r="L152" s="27"/>
      <c r="M152" s="26">
        <f aca="true" t="shared" si="27" ref="M152:M185">C152+F152</f>
        <v>41101225</v>
      </c>
      <c r="N152" s="55"/>
      <c r="O152" s="61"/>
    </row>
    <row r="153" spans="1:15" ht="89.25" customHeight="1">
      <c r="A153" s="9"/>
      <c r="B153" s="98" t="s">
        <v>56</v>
      </c>
      <c r="C153" s="27">
        <f>C152</f>
        <v>41101225</v>
      </c>
      <c r="D153" s="27"/>
      <c r="E153" s="27"/>
      <c r="F153" s="27">
        <f>G153+J153</f>
        <v>0</v>
      </c>
      <c r="G153" s="27">
        <f>G152</f>
        <v>0</v>
      </c>
      <c r="H153" s="27"/>
      <c r="I153" s="27"/>
      <c r="J153" s="27"/>
      <c r="K153" s="27"/>
      <c r="L153" s="27"/>
      <c r="M153" s="26">
        <f t="shared" si="27"/>
        <v>41101225</v>
      </c>
      <c r="N153" s="55"/>
      <c r="O153" s="61"/>
    </row>
    <row r="154" spans="1:15" ht="51">
      <c r="A154" s="9" t="s">
        <v>233</v>
      </c>
      <c r="B154" s="4" t="s">
        <v>234</v>
      </c>
      <c r="C154" s="27">
        <f>100243-3076</f>
        <v>97167</v>
      </c>
      <c r="D154" s="27"/>
      <c r="E154" s="27"/>
      <c r="F154" s="27">
        <f>G154+J154</f>
        <v>0</v>
      </c>
      <c r="G154" s="27"/>
      <c r="H154" s="27"/>
      <c r="I154" s="27"/>
      <c r="J154" s="27"/>
      <c r="K154" s="27"/>
      <c r="L154" s="27"/>
      <c r="M154" s="26">
        <f t="shared" si="27"/>
        <v>97167</v>
      </c>
      <c r="N154" s="55"/>
      <c r="O154" s="61"/>
    </row>
    <row r="155" spans="1:14" s="3" customFormat="1" ht="61.5" customHeight="1">
      <c r="A155" s="9"/>
      <c r="B155" s="98" t="s">
        <v>305</v>
      </c>
      <c r="C155" s="27">
        <f>C154</f>
        <v>97167</v>
      </c>
      <c r="D155" s="27"/>
      <c r="E155" s="27"/>
      <c r="F155" s="27">
        <f>G155+J155</f>
        <v>0</v>
      </c>
      <c r="G155" s="27">
        <f>G154</f>
        <v>0</v>
      </c>
      <c r="H155" s="27"/>
      <c r="I155" s="27"/>
      <c r="J155" s="27"/>
      <c r="K155" s="27"/>
      <c r="L155" s="27"/>
      <c r="M155" s="26">
        <f t="shared" si="27"/>
        <v>97167</v>
      </c>
      <c r="N155" s="55"/>
    </row>
    <row r="156" spans="1:14" s="3" customFormat="1" ht="29.25" customHeight="1">
      <c r="A156" s="40" t="s">
        <v>99</v>
      </c>
      <c r="B156" s="36" t="s">
        <v>164</v>
      </c>
      <c r="C156" s="38">
        <f>6484900+41632+168676+(202000)+18000+(407100)+(946500)+(15000)+(387066)+44915+(528230)-(1000)+(100000)+(20000)+(57710)+(10000)+(66000)+(4660)+(50000)-(6000)+(75900)+(96500)+(5000)+(11500)-(25000)+(3000)+(35000)-1+(52983)+(2000)+(3000)+91000+(5500)-(24785)-(1212)+(10000)+(5000)+(10000)</f>
        <v>9900774</v>
      </c>
      <c r="D156" s="38"/>
      <c r="E156" s="38"/>
      <c r="F156" s="38">
        <f>G156+J156</f>
        <v>0</v>
      </c>
      <c r="G156" s="38"/>
      <c r="H156" s="38"/>
      <c r="I156" s="38"/>
      <c r="J156" s="38"/>
      <c r="K156" s="38">
        <f>J156</f>
        <v>0</v>
      </c>
      <c r="L156" s="38">
        <f>K156</f>
        <v>0</v>
      </c>
      <c r="M156" s="57">
        <f t="shared" si="27"/>
        <v>9900774</v>
      </c>
      <c r="N156" s="55"/>
    </row>
    <row r="157" spans="1:15" ht="25.5" hidden="1">
      <c r="A157" s="40"/>
      <c r="B157" s="73" t="s">
        <v>284</v>
      </c>
      <c r="C157" s="38"/>
      <c r="D157" s="38"/>
      <c r="E157" s="38"/>
      <c r="F157" s="38"/>
      <c r="G157" s="38"/>
      <c r="H157" s="38"/>
      <c r="I157" s="38"/>
      <c r="J157" s="38"/>
      <c r="K157" s="38"/>
      <c r="L157" s="38"/>
      <c r="M157" s="57">
        <f t="shared" si="27"/>
        <v>0</v>
      </c>
      <c r="N157" s="55"/>
      <c r="O157" s="61"/>
    </row>
    <row r="158" spans="1:15" ht="76.5">
      <c r="A158" s="9" t="s">
        <v>248</v>
      </c>
      <c r="B158" s="4" t="s">
        <v>146</v>
      </c>
      <c r="C158" s="27">
        <f>54202+2000</f>
        <v>56202</v>
      </c>
      <c r="D158" s="27"/>
      <c r="E158" s="27"/>
      <c r="F158" s="27"/>
      <c r="G158" s="27"/>
      <c r="H158" s="27"/>
      <c r="I158" s="27"/>
      <c r="J158" s="27"/>
      <c r="K158" s="27"/>
      <c r="L158" s="27"/>
      <c r="M158" s="26">
        <f t="shared" si="27"/>
        <v>56202</v>
      </c>
      <c r="N158" s="55"/>
      <c r="O158" s="61"/>
    </row>
    <row r="159" spans="1:15" ht="58.5" customHeight="1">
      <c r="A159" s="9"/>
      <c r="B159" s="98" t="s">
        <v>305</v>
      </c>
      <c r="C159" s="27">
        <f>C158</f>
        <v>56202</v>
      </c>
      <c r="D159" s="27"/>
      <c r="E159" s="27"/>
      <c r="F159" s="27">
        <f aca="true" t="shared" si="28" ref="F159:F164">G159+J159</f>
        <v>0</v>
      </c>
      <c r="G159" s="27"/>
      <c r="H159" s="27"/>
      <c r="I159" s="27"/>
      <c r="J159" s="27"/>
      <c r="K159" s="27"/>
      <c r="L159" s="27"/>
      <c r="M159" s="26">
        <f t="shared" si="27"/>
        <v>56202</v>
      </c>
      <c r="N159" s="55"/>
      <c r="O159" s="61"/>
    </row>
    <row r="160" spans="1:15" ht="25.5">
      <c r="A160" s="9" t="s">
        <v>176</v>
      </c>
      <c r="B160" s="62" t="s">
        <v>257</v>
      </c>
      <c r="C160" s="27">
        <f>5711110+240-8145-65046-120-240</f>
        <v>5637799</v>
      </c>
      <c r="D160" s="27">
        <f>3648888-119187</f>
        <v>3529701</v>
      </c>
      <c r="E160" s="27">
        <f>153192-39552+5228</f>
        <v>118868</v>
      </c>
      <c r="F160" s="27">
        <f t="shared" si="28"/>
        <v>245000</v>
      </c>
      <c r="G160" s="27"/>
      <c r="H160" s="27"/>
      <c r="I160" s="27"/>
      <c r="J160" s="27">
        <f>K160</f>
        <v>245000</v>
      </c>
      <c r="K160" s="27">
        <f>196550+48450</f>
        <v>245000</v>
      </c>
      <c r="L160" s="27">
        <f>99960+48450</f>
        <v>148410</v>
      </c>
      <c r="M160" s="26">
        <f t="shared" si="27"/>
        <v>5882799</v>
      </c>
      <c r="N160" s="55"/>
      <c r="O160" s="61"/>
    </row>
    <row r="161" spans="1:15" ht="25.5">
      <c r="A161" s="9" t="s">
        <v>177</v>
      </c>
      <c r="B161" s="62" t="s">
        <v>263</v>
      </c>
      <c r="C161" s="27">
        <v>204630</v>
      </c>
      <c r="D161" s="27">
        <v>100000</v>
      </c>
      <c r="E161" s="27"/>
      <c r="F161" s="27">
        <f t="shared" si="28"/>
        <v>0</v>
      </c>
      <c r="G161" s="27"/>
      <c r="H161" s="27"/>
      <c r="I161" s="27"/>
      <c r="J161" s="27"/>
      <c r="K161" s="27"/>
      <c r="L161" s="27"/>
      <c r="M161" s="26">
        <f t="shared" si="27"/>
        <v>204630</v>
      </c>
      <c r="N161" s="55"/>
      <c r="O161" s="61"/>
    </row>
    <row r="162" spans="1:15" ht="25.5" hidden="1">
      <c r="A162" s="9" t="s">
        <v>100</v>
      </c>
      <c r="B162" s="62" t="s">
        <v>220</v>
      </c>
      <c r="C162" s="27"/>
      <c r="D162" s="27"/>
      <c r="E162" s="27"/>
      <c r="F162" s="27">
        <f t="shared" si="28"/>
        <v>0</v>
      </c>
      <c r="G162" s="27"/>
      <c r="H162" s="27"/>
      <c r="I162" s="27"/>
      <c r="J162" s="27"/>
      <c r="K162" s="27"/>
      <c r="L162" s="27"/>
      <c r="M162" s="26">
        <f t="shared" si="27"/>
        <v>0</v>
      </c>
      <c r="N162" s="55"/>
      <c r="O162" s="61"/>
    </row>
    <row r="163" spans="1:15" ht="76.5" hidden="1">
      <c r="A163" s="40" t="s">
        <v>190</v>
      </c>
      <c r="B163" s="36" t="s">
        <v>273</v>
      </c>
      <c r="C163" s="38">
        <f>2988909-2988909</f>
        <v>0</v>
      </c>
      <c r="D163" s="38"/>
      <c r="E163" s="38"/>
      <c r="F163" s="38">
        <f t="shared" si="28"/>
        <v>0</v>
      </c>
      <c r="G163" s="38"/>
      <c r="H163" s="38"/>
      <c r="I163" s="38"/>
      <c r="J163" s="38"/>
      <c r="K163" s="38"/>
      <c r="L163" s="38"/>
      <c r="M163" s="57">
        <f t="shared" si="27"/>
        <v>0</v>
      </c>
      <c r="N163" s="55"/>
      <c r="O163" s="61"/>
    </row>
    <row r="164" spans="1:15" ht="39" customHeight="1">
      <c r="A164" s="40" t="s">
        <v>101</v>
      </c>
      <c r="B164" s="73" t="s">
        <v>296</v>
      </c>
      <c r="C164" s="38">
        <f>16530987+317289+(11500)+7734+18061+1891+(2000)+29610+1-32457-40160-3947</f>
        <v>16842509</v>
      </c>
      <c r="D164" s="38">
        <f>10116303-29465</f>
        <v>10086838</v>
      </c>
      <c r="E164" s="38">
        <f>1297650+29610+1</f>
        <v>1327261</v>
      </c>
      <c r="F164" s="38">
        <f t="shared" si="28"/>
        <v>687852</v>
      </c>
      <c r="G164" s="38">
        <v>210829</v>
      </c>
      <c r="H164" s="38">
        <v>140034</v>
      </c>
      <c r="I164" s="38"/>
      <c r="J164" s="38">
        <f>K164</f>
        <v>477023</v>
      </c>
      <c r="K164" s="81">
        <f>300000+249139+350000+(8000)+(4500)+(15000)+(18500)+(1484)+(8000)+(500)+(10000)+(5000)+(3500)+(2000)-500000+(1400)</f>
        <v>477023</v>
      </c>
      <c r="L164" s="81">
        <f>(1484)+(500)</f>
        <v>1984</v>
      </c>
      <c r="M164" s="57">
        <f t="shared" si="27"/>
        <v>17530361</v>
      </c>
      <c r="N164" s="55"/>
      <c r="O164" s="61"/>
    </row>
    <row r="165" spans="1:15" ht="89.25">
      <c r="A165" s="79" t="s">
        <v>311</v>
      </c>
      <c r="B165" s="73" t="s">
        <v>301</v>
      </c>
      <c r="C165" s="38">
        <f>2256100+9153</f>
        <v>2265253</v>
      </c>
      <c r="D165" s="38"/>
      <c r="E165" s="38"/>
      <c r="F165" s="38"/>
      <c r="G165" s="38"/>
      <c r="H165" s="38"/>
      <c r="I165" s="38"/>
      <c r="J165" s="38"/>
      <c r="K165" s="38"/>
      <c r="L165" s="38"/>
      <c r="M165" s="57">
        <f t="shared" si="27"/>
        <v>2265253</v>
      </c>
      <c r="N165" s="55"/>
      <c r="O165" s="61"/>
    </row>
    <row r="166" spans="1:15" ht="25.5" customHeight="1">
      <c r="A166" s="40" t="s">
        <v>153</v>
      </c>
      <c r="B166" s="97" t="s">
        <v>297</v>
      </c>
      <c r="C166" s="38">
        <f>739800+3458+(5000)+(1000)+100000+13800+25000</f>
        <v>888058</v>
      </c>
      <c r="D166" s="38"/>
      <c r="E166" s="38"/>
      <c r="F166" s="38">
        <f>G166+J166</f>
        <v>44000</v>
      </c>
      <c r="G166" s="38"/>
      <c r="H166" s="38"/>
      <c r="I166" s="38"/>
      <c r="J166" s="38">
        <f>K166</f>
        <v>44000</v>
      </c>
      <c r="K166" s="38">
        <f>(5000)+(47500)-(10000)+(1500)</f>
        <v>44000</v>
      </c>
      <c r="L166" s="38"/>
      <c r="M166" s="57">
        <f t="shared" si="27"/>
        <v>932058</v>
      </c>
      <c r="N166" s="55"/>
      <c r="O166" s="61"/>
    </row>
    <row r="167" spans="1:15" ht="42.75" customHeight="1">
      <c r="A167" s="9" t="s">
        <v>138</v>
      </c>
      <c r="B167" s="15" t="s">
        <v>151</v>
      </c>
      <c r="C167" s="27">
        <f>62854623+6180000</f>
        <v>69034623</v>
      </c>
      <c r="D167" s="27"/>
      <c r="E167" s="27"/>
      <c r="F167" s="27">
        <f>G167+J167</f>
        <v>0</v>
      </c>
      <c r="G167" s="27"/>
      <c r="H167" s="27"/>
      <c r="I167" s="27"/>
      <c r="J167" s="27"/>
      <c r="K167" s="27"/>
      <c r="L167" s="27"/>
      <c r="M167" s="26">
        <f t="shared" si="27"/>
        <v>69034623</v>
      </c>
      <c r="N167" s="55"/>
      <c r="O167" s="61"/>
    </row>
    <row r="168" spans="1:15" ht="60" customHeight="1">
      <c r="A168" s="9"/>
      <c r="B168" s="98" t="s">
        <v>57</v>
      </c>
      <c r="C168" s="27">
        <f>C167</f>
        <v>69034623</v>
      </c>
      <c r="D168" s="27"/>
      <c r="E168" s="27"/>
      <c r="F168" s="27"/>
      <c r="G168" s="27"/>
      <c r="H168" s="27"/>
      <c r="I168" s="27"/>
      <c r="J168" s="27"/>
      <c r="K168" s="27"/>
      <c r="L168" s="27"/>
      <c r="M168" s="26">
        <f t="shared" si="27"/>
        <v>69034623</v>
      </c>
      <c r="N168" s="55"/>
      <c r="O168" s="61"/>
    </row>
    <row r="169" spans="1:15" ht="12.75">
      <c r="A169" s="40" t="s">
        <v>203</v>
      </c>
      <c r="B169" s="67" t="s">
        <v>110</v>
      </c>
      <c r="C169" s="38">
        <f>C170</f>
        <v>0</v>
      </c>
      <c r="D169" s="38">
        <f>D170</f>
        <v>0</v>
      </c>
      <c r="E169" s="38">
        <f>E170</f>
        <v>0</v>
      </c>
      <c r="F169" s="38">
        <f>G169+J169</f>
        <v>5316674</v>
      </c>
      <c r="G169" s="38">
        <f aca="true" t="shared" si="29" ref="G169:L169">G170</f>
        <v>0</v>
      </c>
      <c r="H169" s="38">
        <f t="shared" si="29"/>
        <v>0</v>
      </c>
      <c r="I169" s="38">
        <f t="shared" si="29"/>
        <v>0</v>
      </c>
      <c r="J169" s="38">
        <f t="shared" si="29"/>
        <v>5316674</v>
      </c>
      <c r="K169" s="38">
        <f t="shared" si="29"/>
        <v>5316674</v>
      </c>
      <c r="L169" s="38">
        <f t="shared" si="29"/>
        <v>2500000</v>
      </c>
      <c r="M169" s="57">
        <f t="shared" si="27"/>
        <v>5316674</v>
      </c>
      <c r="N169" s="55"/>
      <c r="O169" s="61"/>
    </row>
    <row r="170" spans="1:15" ht="12.75">
      <c r="A170" s="40" t="s">
        <v>171</v>
      </c>
      <c r="B170" s="67" t="s">
        <v>172</v>
      </c>
      <c r="C170" s="38"/>
      <c r="D170" s="38"/>
      <c r="E170" s="38"/>
      <c r="F170" s="38">
        <f>G170+J170</f>
        <v>5316674</v>
      </c>
      <c r="G170" s="38"/>
      <c r="H170" s="38"/>
      <c r="I170" s="38"/>
      <c r="J170" s="38">
        <f>K170</f>
        <v>5316674</v>
      </c>
      <c r="K170" s="81">
        <f>5348484-2348484+1537369+2844614-2511784+2500000-2053525</f>
        <v>5316674</v>
      </c>
      <c r="L170" s="38">
        <f>2500000+1690907-1690907</f>
        <v>2500000</v>
      </c>
      <c r="M170" s="57">
        <f t="shared" si="27"/>
        <v>5316674</v>
      </c>
      <c r="N170" s="55"/>
      <c r="O170" s="61"/>
    </row>
    <row r="171" spans="1:15" ht="45">
      <c r="A171" s="40"/>
      <c r="B171" s="98" t="s">
        <v>51</v>
      </c>
      <c r="C171" s="38"/>
      <c r="D171" s="38"/>
      <c r="E171" s="38"/>
      <c r="F171" s="38">
        <f>G171+J171</f>
        <v>2500000</v>
      </c>
      <c r="G171" s="38"/>
      <c r="H171" s="38"/>
      <c r="I171" s="38"/>
      <c r="J171" s="38">
        <f>K171</f>
        <v>2500000</v>
      </c>
      <c r="K171" s="81">
        <v>2500000</v>
      </c>
      <c r="L171" s="38">
        <v>2500000</v>
      </c>
      <c r="M171" s="57">
        <f t="shared" si="27"/>
        <v>2500000</v>
      </c>
      <c r="N171" s="55"/>
      <c r="O171" s="61"/>
    </row>
    <row r="172" spans="1:15" ht="38.25">
      <c r="A172" s="40" t="s">
        <v>204</v>
      </c>
      <c r="B172" s="36" t="s">
        <v>205</v>
      </c>
      <c r="C172" s="38">
        <f>C175+C177+C179+C173</f>
        <v>65537171</v>
      </c>
      <c r="D172" s="38">
        <f>D175+D177+D179</f>
        <v>0</v>
      </c>
      <c r="E172" s="38">
        <f>E175+E177+E179</f>
        <v>0</v>
      </c>
      <c r="F172" s="38">
        <f>G172+J172</f>
        <v>0</v>
      </c>
      <c r="G172" s="38">
        <f>G175+G177+G179</f>
        <v>0</v>
      </c>
      <c r="H172" s="38">
        <f>H175+H177+H179</f>
        <v>0</v>
      </c>
      <c r="I172" s="38">
        <f>I175+I177+I179</f>
        <v>0</v>
      </c>
      <c r="J172" s="38"/>
      <c r="K172" s="38">
        <f>K175+K177+K179</f>
        <v>0</v>
      </c>
      <c r="L172" s="38"/>
      <c r="M172" s="57">
        <f t="shared" si="27"/>
        <v>65537171</v>
      </c>
      <c r="N172" s="55"/>
      <c r="O172" s="61"/>
    </row>
    <row r="173" spans="1:15" ht="56.25" customHeight="1">
      <c r="A173" s="40" t="s">
        <v>139</v>
      </c>
      <c r="B173" s="36" t="s">
        <v>63</v>
      </c>
      <c r="C173" s="81">
        <f>C174+157950-9500-1502</f>
        <v>6003355</v>
      </c>
      <c r="D173" s="38"/>
      <c r="E173" s="38"/>
      <c r="F173" s="38">
        <f>G173+J173</f>
        <v>0</v>
      </c>
      <c r="G173" s="38"/>
      <c r="H173" s="38"/>
      <c r="I173" s="38"/>
      <c r="J173" s="38"/>
      <c r="K173" s="38"/>
      <c r="L173" s="38"/>
      <c r="M173" s="57">
        <f t="shared" si="27"/>
        <v>6003355</v>
      </c>
      <c r="N173" s="55"/>
      <c r="O173" s="61"/>
    </row>
    <row r="174" spans="1:14" s="3" customFormat="1" ht="186" customHeight="1">
      <c r="A174" s="40"/>
      <c r="B174" s="98" t="s">
        <v>58</v>
      </c>
      <c r="C174" s="81">
        <f>4822607+1033800</f>
        <v>5856407</v>
      </c>
      <c r="D174" s="38"/>
      <c r="E174" s="38"/>
      <c r="F174" s="38"/>
      <c r="G174" s="38"/>
      <c r="H174" s="38"/>
      <c r="I174" s="38"/>
      <c r="J174" s="38"/>
      <c r="K174" s="38"/>
      <c r="L174" s="38"/>
      <c r="M174" s="57">
        <f t="shared" si="27"/>
        <v>5856407</v>
      </c>
      <c r="N174" s="55"/>
    </row>
    <row r="175" spans="1:15" ht="38.25">
      <c r="A175" s="40" t="s">
        <v>262</v>
      </c>
      <c r="B175" s="36" t="s">
        <v>276</v>
      </c>
      <c r="C175" s="38">
        <f>C176+500000</f>
        <v>1597594</v>
      </c>
      <c r="D175" s="38"/>
      <c r="E175" s="38"/>
      <c r="F175" s="38">
        <f>G175+J175</f>
        <v>0</v>
      </c>
      <c r="G175" s="38"/>
      <c r="H175" s="38"/>
      <c r="I175" s="38"/>
      <c r="J175" s="38"/>
      <c r="K175" s="38"/>
      <c r="L175" s="38"/>
      <c r="M175" s="57">
        <f t="shared" si="27"/>
        <v>1597594</v>
      </c>
      <c r="N175" s="55"/>
      <c r="O175" s="61"/>
    </row>
    <row r="176" spans="1:14" s="3" customFormat="1" ht="173.25" customHeight="1">
      <c r="A176" s="40"/>
      <c r="B176" s="98" t="s">
        <v>58</v>
      </c>
      <c r="C176" s="38">
        <f>627594+470000</f>
        <v>1097594</v>
      </c>
      <c r="D176" s="38"/>
      <c r="E176" s="38"/>
      <c r="F176" s="38"/>
      <c r="G176" s="38"/>
      <c r="H176" s="38"/>
      <c r="I176" s="38"/>
      <c r="J176" s="38"/>
      <c r="K176" s="38"/>
      <c r="L176" s="38"/>
      <c r="M176" s="57">
        <f t="shared" si="27"/>
        <v>1097594</v>
      </c>
      <c r="N176" s="55"/>
    </row>
    <row r="177" spans="1:14" s="3" customFormat="1" ht="38.25">
      <c r="A177" s="40" t="s">
        <v>260</v>
      </c>
      <c r="B177" s="62" t="s">
        <v>261</v>
      </c>
      <c r="C177" s="38">
        <f>2936756+820000</f>
        <v>3756756</v>
      </c>
      <c r="D177" s="38"/>
      <c r="E177" s="38"/>
      <c r="F177" s="38"/>
      <c r="G177" s="38"/>
      <c r="H177" s="38"/>
      <c r="I177" s="38"/>
      <c r="J177" s="38"/>
      <c r="K177" s="38"/>
      <c r="L177" s="38"/>
      <c r="M177" s="57">
        <f t="shared" si="27"/>
        <v>3756756</v>
      </c>
      <c r="N177" s="55"/>
    </row>
    <row r="178" spans="1:14" s="3" customFormat="1" ht="180" customHeight="1">
      <c r="A178" s="40"/>
      <c r="B178" s="98" t="s">
        <v>58</v>
      </c>
      <c r="C178" s="38">
        <f>C177</f>
        <v>3756756</v>
      </c>
      <c r="D178" s="38"/>
      <c r="E178" s="38"/>
      <c r="F178" s="38"/>
      <c r="G178" s="38"/>
      <c r="H178" s="38"/>
      <c r="I178" s="38"/>
      <c r="J178" s="38"/>
      <c r="K178" s="38"/>
      <c r="L178" s="38"/>
      <c r="M178" s="57">
        <f t="shared" si="27"/>
        <v>3756756</v>
      </c>
      <c r="N178" s="55"/>
    </row>
    <row r="179" spans="1:14" s="3" customFormat="1" ht="38.25">
      <c r="A179" s="40" t="s">
        <v>140</v>
      </c>
      <c r="B179" s="73" t="s">
        <v>50</v>
      </c>
      <c r="C179" s="81">
        <f>C180+12000000+854300+4000000-150000-41632-2500000-13800-18061-15500-7651</f>
        <v>54179466</v>
      </c>
      <c r="D179" s="38"/>
      <c r="E179" s="38"/>
      <c r="F179" s="38">
        <f>G179+J179</f>
        <v>0</v>
      </c>
      <c r="G179" s="38"/>
      <c r="H179" s="38"/>
      <c r="I179" s="38"/>
      <c r="J179" s="38"/>
      <c r="K179" s="38"/>
      <c r="L179" s="38"/>
      <c r="M179" s="57">
        <f t="shared" si="27"/>
        <v>54179466</v>
      </c>
      <c r="N179" s="55"/>
    </row>
    <row r="180" spans="1:14" s="3" customFormat="1" ht="195.75" customHeight="1">
      <c r="A180" s="40"/>
      <c r="B180" s="98" t="s">
        <v>58</v>
      </c>
      <c r="C180" s="38">
        <f>39285410-470000+1256400</f>
        <v>40071810</v>
      </c>
      <c r="D180" s="38"/>
      <c r="E180" s="38"/>
      <c r="F180" s="38"/>
      <c r="G180" s="38"/>
      <c r="H180" s="38"/>
      <c r="I180" s="38"/>
      <c r="J180" s="38"/>
      <c r="K180" s="38"/>
      <c r="L180" s="38"/>
      <c r="M180" s="57">
        <f t="shared" si="27"/>
        <v>40071810</v>
      </c>
      <c r="N180" s="55"/>
    </row>
    <row r="181" spans="1:15" s="56" customFormat="1" ht="12.75" hidden="1">
      <c r="A181" s="40" t="s">
        <v>206</v>
      </c>
      <c r="B181" s="36" t="s">
        <v>210</v>
      </c>
      <c r="C181" s="38">
        <f>C182</f>
        <v>0</v>
      </c>
      <c r="D181" s="38">
        <f>D182</f>
        <v>0</v>
      </c>
      <c r="E181" s="38">
        <f>E182</f>
        <v>0</v>
      </c>
      <c r="F181" s="38">
        <f>G181+J181</f>
        <v>0</v>
      </c>
      <c r="G181" s="38">
        <f>G182</f>
        <v>0</v>
      </c>
      <c r="H181" s="38">
        <f>H182</f>
        <v>0</v>
      </c>
      <c r="I181" s="38">
        <f>I182</f>
        <v>0</v>
      </c>
      <c r="J181" s="38">
        <f>J182</f>
        <v>0</v>
      </c>
      <c r="K181" s="38">
        <f>K182</f>
        <v>0</v>
      </c>
      <c r="L181" s="38"/>
      <c r="M181" s="57">
        <f t="shared" si="27"/>
        <v>0</v>
      </c>
      <c r="N181" s="55"/>
      <c r="O181" s="55"/>
    </row>
    <row r="182" spans="1:15" s="59" customFormat="1" ht="25.5" hidden="1">
      <c r="A182" s="40" t="s">
        <v>114</v>
      </c>
      <c r="B182" s="62" t="s">
        <v>166</v>
      </c>
      <c r="C182" s="38"/>
      <c r="D182" s="38"/>
      <c r="E182" s="38"/>
      <c r="F182" s="38">
        <f>G182+J182</f>
        <v>0</v>
      </c>
      <c r="G182" s="38"/>
      <c r="H182" s="38"/>
      <c r="I182" s="38"/>
      <c r="J182" s="38"/>
      <c r="K182" s="38"/>
      <c r="L182" s="38"/>
      <c r="M182" s="57">
        <f t="shared" si="27"/>
        <v>0</v>
      </c>
      <c r="N182" s="55"/>
      <c r="O182" s="58"/>
    </row>
    <row r="183" spans="1:15" ht="25.5" hidden="1">
      <c r="A183" s="9" t="s">
        <v>208</v>
      </c>
      <c r="B183" s="6" t="s">
        <v>209</v>
      </c>
      <c r="C183" s="27">
        <f>C184+C185</f>
        <v>0</v>
      </c>
      <c r="D183" s="27">
        <f>D184+D185</f>
        <v>0</v>
      </c>
      <c r="E183" s="27">
        <f>E184+E185</f>
        <v>0</v>
      </c>
      <c r="F183" s="27">
        <f>F185</f>
        <v>0</v>
      </c>
      <c r="G183" s="27">
        <f>G184+G185</f>
        <v>0</v>
      </c>
      <c r="H183" s="27">
        <f>H184+H185</f>
        <v>0</v>
      </c>
      <c r="I183" s="27">
        <f>I184+I185</f>
        <v>0</v>
      </c>
      <c r="J183" s="27">
        <f>J184+J185</f>
        <v>0</v>
      </c>
      <c r="K183" s="27">
        <f>K184+K185</f>
        <v>0</v>
      </c>
      <c r="L183" s="27"/>
      <c r="M183" s="26">
        <f t="shared" si="27"/>
        <v>0</v>
      </c>
      <c r="N183" s="55"/>
      <c r="O183" s="61"/>
    </row>
    <row r="184" spans="1:15" ht="53.25" customHeight="1" hidden="1">
      <c r="A184" s="40" t="s">
        <v>115</v>
      </c>
      <c r="B184" s="36" t="s">
        <v>149</v>
      </c>
      <c r="C184" s="38"/>
      <c r="D184" s="38"/>
      <c r="E184" s="38"/>
      <c r="F184" s="38">
        <f>G184+J184</f>
        <v>0</v>
      </c>
      <c r="G184" s="38"/>
      <c r="H184" s="38"/>
      <c r="I184" s="38"/>
      <c r="J184" s="38"/>
      <c r="K184" s="38"/>
      <c r="L184" s="38"/>
      <c r="M184" s="57">
        <f t="shared" si="27"/>
        <v>0</v>
      </c>
      <c r="N184" s="55"/>
      <c r="O184" s="61"/>
    </row>
    <row r="185" spans="1:15" ht="153.75" customHeight="1" hidden="1">
      <c r="A185" s="9" t="s">
        <v>225</v>
      </c>
      <c r="B185" s="6" t="s">
        <v>226</v>
      </c>
      <c r="C185" s="27"/>
      <c r="D185" s="27"/>
      <c r="E185" s="27"/>
      <c r="F185" s="27">
        <f>G185+J185</f>
        <v>0</v>
      </c>
      <c r="G185" s="27"/>
      <c r="H185" s="27"/>
      <c r="I185" s="27"/>
      <c r="J185" s="27"/>
      <c r="K185" s="27"/>
      <c r="L185" s="27"/>
      <c r="M185" s="26">
        <f t="shared" si="27"/>
        <v>0</v>
      </c>
      <c r="N185" s="55"/>
      <c r="O185" s="61"/>
    </row>
    <row r="186" spans="1:15" ht="111.75" customHeight="1" hidden="1">
      <c r="A186" s="9"/>
      <c r="B186" s="99" t="s">
        <v>307</v>
      </c>
      <c r="C186" s="27"/>
      <c r="D186" s="27"/>
      <c r="E186" s="27"/>
      <c r="F186" s="27">
        <f>G186+J186</f>
        <v>0</v>
      </c>
      <c r="G186" s="27">
        <f>G185</f>
        <v>0</v>
      </c>
      <c r="H186" s="27">
        <f>H185</f>
        <v>0</v>
      </c>
      <c r="I186" s="27">
        <f>I185</f>
        <v>0</v>
      </c>
      <c r="J186" s="27">
        <f>J185</f>
        <v>0</v>
      </c>
      <c r="K186" s="27">
        <f>K185</f>
        <v>0</v>
      </c>
      <c r="L186" s="27"/>
      <c r="M186" s="26">
        <f>C186+F186</f>
        <v>0</v>
      </c>
      <c r="N186" s="55"/>
      <c r="O186" s="61"/>
    </row>
    <row r="187" spans="1:15" s="56" customFormat="1" ht="25.5" hidden="1">
      <c r="A187" s="109" t="s">
        <v>98</v>
      </c>
      <c r="B187" s="110" t="s">
        <v>150</v>
      </c>
      <c r="C187" s="111">
        <f>C188+C189+C190</f>
        <v>0</v>
      </c>
      <c r="D187" s="111">
        <f>D188+D189+D190</f>
        <v>0</v>
      </c>
      <c r="E187" s="111">
        <f>E188+E189+E190</f>
        <v>0</v>
      </c>
      <c r="F187" s="111">
        <f aca="true" t="shared" si="30" ref="F187:F194">G187+J187</f>
        <v>0</v>
      </c>
      <c r="G187" s="111">
        <f>G188+G189+G190</f>
        <v>0</v>
      </c>
      <c r="H187" s="111">
        <f>H188+H189+H190</f>
        <v>0</v>
      </c>
      <c r="I187" s="111">
        <f>I188+I189+I190</f>
        <v>0</v>
      </c>
      <c r="J187" s="111">
        <f>J188+J189+J190</f>
        <v>0</v>
      </c>
      <c r="K187" s="111">
        <f>K188+K189+K190</f>
        <v>0</v>
      </c>
      <c r="L187" s="111"/>
      <c r="M187" s="112">
        <f aca="true" t="shared" si="31" ref="M187:M197">C187+F187</f>
        <v>0</v>
      </c>
      <c r="N187" s="55"/>
      <c r="O187" s="55"/>
    </row>
    <row r="188" spans="1:15" s="59" customFormat="1" ht="25.5" hidden="1">
      <c r="A188" s="109" t="s">
        <v>176</v>
      </c>
      <c r="B188" s="113" t="s">
        <v>257</v>
      </c>
      <c r="C188" s="111"/>
      <c r="D188" s="111"/>
      <c r="E188" s="111"/>
      <c r="F188" s="111">
        <f t="shared" si="30"/>
        <v>0</v>
      </c>
      <c r="G188" s="111"/>
      <c r="H188" s="111"/>
      <c r="I188" s="111"/>
      <c r="J188" s="111"/>
      <c r="K188" s="111"/>
      <c r="L188" s="111"/>
      <c r="M188" s="112">
        <f t="shared" si="31"/>
        <v>0</v>
      </c>
      <c r="N188" s="55"/>
      <c r="O188" s="58"/>
    </row>
    <row r="189" spans="1:15" ht="25.5" hidden="1">
      <c r="A189" s="109" t="s">
        <v>177</v>
      </c>
      <c r="B189" s="113" t="s">
        <v>263</v>
      </c>
      <c r="C189" s="111"/>
      <c r="D189" s="111"/>
      <c r="E189" s="111"/>
      <c r="F189" s="111">
        <f t="shared" si="30"/>
        <v>0</v>
      </c>
      <c r="G189" s="111"/>
      <c r="H189" s="111"/>
      <c r="I189" s="111"/>
      <c r="J189" s="111"/>
      <c r="K189" s="111"/>
      <c r="L189" s="111"/>
      <c r="M189" s="112">
        <f t="shared" si="31"/>
        <v>0</v>
      </c>
      <c r="N189" s="55"/>
      <c r="O189" s="61"/>
    </row>
    <row r="190" spans="1:15" ht="26.25" customHeight="1" hidden="1">
      <c r="A190" s="109" t="s">
        <v>100</v>
      </c>
      <c r="B190" s="113" t="s">
        <v>220</v>
      </c>
      <c r="C190" s="111"/>
      <c r="D190" s="111"/>
      <c r="E190" s="111"/>
      <c r="F190" s="111">
        <f t="shared" si="30"/>
        <v>0</v>
      </c>
      <c r="G190" s="111"/>
      <c r="H190" s="111"/>
      <c r="I190" s="111"/>
      <c r="J190" s="111"/>
      <c r="K190" s="111"/>
      <c r="L190" s="111"/>
      <c r="M190" s="112">
        <f t="shared" si="31"/>
        <v>0</v>
      </c>
      <c r="N190" s="55"/>
      <c r="O190" s="61"/>
    </row>
    <row r="191" spans="1:15" ht="63.75" hidden="1">
      <c r="A191" s="40" t="s">
        <v>251</v>
      </c>
      <c r="B191" s="36" t="s">
        <v>252</v>
      </c>
      <c r="C191" s="38"/>
      <c r="D191" s="38"/>
      <c r="E191" s="38"/>
      <c r="F191" s="38">
        <f t="shared" si="30"/>
        <v>0</v>
      </c>
      <c r="G191" s="38"/>
      <c r="H191" s="38"/>
      <c r="I191" s="38"/>
      <c r="J191" s="38"/>
      <c r="K191" s="38"/>
      <c r="L191" s="38"/>
      <c r="M191" s="57">
        <f t="shared" si="31"/>
        <v>0</v>
      </c>
      <c r="N191" s="55"/>
      <c r="O191" s="61"/>
    </row>
    <row r="192" spans="1:15" ht="25.5" hidden="1">
      <c r="A192" s="40" t="s">
        <v>114</v>
      </c>
      <c r="B192" s="62" t="s">
        <v>166</v>
      </c>
      <c r="C192" s="38"/>
      <c r="D192" s="38"/>
      <c r="E192" s="38"/>
      <c r="F192" s="38">
        <f t="shared" si="30"/>
        <v>0</v>
      </c>
      <c r="G192" s="38"/>
      <c r="H192" s="38"/>
      <c r="I192" s="38"/>
      <c r="J192" s="38"/>
      <c r="K192" s="38"/>
      <c r="L192" s="38"/>
      <c r="M192" s="57">
        <f t="shared" si="31"/>
        <v>0</v>
      </c>
      <c r="N192" s="55"/>
      <c r="O192" s="61"/>
    </row>
    <row r="193" spans="1:15" ht="25.5">
      <c r="A193" s="106" t="s">
        <v>365</v>
      </c>
      <c r="B193" s="107" t="s">
        <v>338</v>
      </c>
      <c r="C193" s="53">
        <f aca="true" t="shared" si="32" ref="C193:E194">C194</f>
        <v>2424268</v>
      </c>
      <c r="D193" s="53">
        <f t="shared" si="32"/>
        <v>1642151</v>
      </c>
      <c r="E193" s="53">
        <f t="shared" si="32"/>
        <v>40442</v>
      </c>
      <c r="F193" s="53">
        <f t="shared" si="30"/>
        <v>0</v>
      </c>
      <c r="G193" s="53"/>
      <c r="H193" s="53"/>
      <c r="I193" s="53"/>
      <c r="J193" s="53">
        <f aca="true" t="shared" si="33" ref="J193:L194">J194</f>
        <v>0</v>
      </c>
      <c r="K193" s="53">
        <f t="shared" si="33"/>
        <v>0</v>
      </c>
      <c r="L193" s="53">
        <f t="shared" si="33"/>
        <v>0</v>
      </c>
      <c r="M193" s="54">
        <f>C193+F193</f>
        <v>2424268</v>
      </c>
      <c r="N193" s="55"/>
      <c r="O193" s="61"/>
    </row>
    <row r="194" spans="1:15" ht="12.75">
      <c r="A194" s="43" t="s">
        <v>199</v>
      </c>
      <c r="B194" s="44" t="s">
        <v>200</v>
      </c>
      <c r="C194" s="38">
        <f t="shared" si="32"/>
        <v>2424268</v>
      </c>
      <c r="D194" s="38">
        <f t="shared" si="32"/>
        <v>1642151</v>
      </c>
      <c r="E194" s="38">
        <f t="shared" si="32"/>
        <v>40442</v>
      </c>
      <c r="F194" s="38">
        <f t="shared" si="30"/>
        <v>0</v>
      </c>
      <c r="G194" s="38"/>
      <c r="H194" s="38"/>
      <c r="I194" s="38"/>
      <c r="J194" s="38">
        <f t="shared" si="33"/>
        <v>0</v>
      </c>
      <c r="K194" s="38">
        <f t="shared" si="33"/>
        <v>0</v>
      </c>
      <c r="L194" s="38">
        <f t="shared" si="33"/>
        <v>0</v>
      </c>
      <c r="M194" s="57">
        <f>C194+F194</f>
        <v>2424268</v>
      </c>
      <c r="N194" s="55"/>
      <c r="O194" s="61"/>
    </row>
    <row r="195" spans="1:15" ht="12.75">
      <c r="A195" s="40" t="s">
        <v>76</v>
      </c>
      <c r="B195" s="60" t="s">
        <v>77</v>
      </c>
      <c r="C195" s="38">
        <f>2359169+31257+23208+17234-6600</f>
        <v>2424268</v>
      </c>
      <c r="D195" s="38">
        <f>1651751-9600</f>
        <v>1642151</v>
      </c>
      <c r="E195" s="37">
        <f>23208+17234</f>
        <v>40442</v>
      </c>
      <c r="F195" s="38">
        <f>G195+J195</f>
        <v>0</v>
      </c>
      <c r="G195" s="38"/>
      <c r="H195" s="38"/>
      <c r="I195" s="38"/>
      <c r="J195" s="38"/>
      <c r="K195" s="38">
        <f>J195</f>
        <v>0</v>
      </c>
      <c r="L195" s="38"/>
      <c r="M195" s="57">
        <f>C195+F195</f>
        <v>2424268</v>
      </c>
      <c r="N195" s="55"/>
      <c r="O195" s="61"/>
    </row>
    <row r="196" spans="1:15" ht="12.75" hidden="1">
      <c r="A196" s="40" t="s">
        <v>206</v>
      </c>
      <c r="B196" s="36" t="s">
        <v>210</v>
      </c>
      <c r="C196" s="38"/>
      <c r="D196" s="38"/>
      <c r="E196" s="38"/>
      <c r="F196" s="38">
        <f>G196+J196</f>
        <v>0</v>
      </c>
      <c r="G196" s="38">
        <f>G197</f>
        <v>0</v>
      </c>
      <c r="H196" s="38">
        <f>H197</f>
        <v>0</v>
      </c>
      <c r="I196" s="38">
        <f>I197</f>
        <v>0</v>
      </c>
      <c r="J196" s="38">
        <f>J197</f>
        <v>0</v>
      </c>
      <c r="K196" s="38">
        <f>K197</f>
        <v>0</v>
      </c>
      <c r="L196" s="38"/>
      <c r="M196" s="57">
        <f t="shared" si="31"/>
        <v>0</v>
      </c>
      <c r="N196" s="55"/>
      <c r="O196" s="61"/>
    </row>
    <row r="197" spans="1:15" ht="25.5" hidden="1">
      <c r="A197" s="40" t="s">
        <v>114</v>
      </c>
      <c r="B197" s="36" t="s">
        <v>166</v>
      </c>
      <c r="C197" s="38"/>
      <c r="D197" s="38"/>
      <c r="E197" s="38"/>
      <c r="F197" s="38">
        <f>G197+J197</f>
        <v>0</v>
      </c>
      <c r="G197" s="38"/>
      <c r="H197" s="38"/>
      <c r="I197" s="38"/>
      <c r="J197" s="38"/>
      <c r="K197" s="38"/>
      <c r="L197" s="38"/>
      <c r="M197" s="57">
        <f t="shared" si="31"/>
        <v>0</v>
      </c>
      <c r="N197" s="55"/>
      <c r="O197" s="61"/>
    </row>
    <row r="198" spans="1:14" s="3" customFormat="1" ht="51">
      <c r="A198" s="18" t="s">
        <v>361</v>
      </c>
      <c r="B198" s="20" t="s">
        <v>316</v>
      </c>
      <c r="C198" s="31">
        <f aca="true" t="shared" si="34" ref="C198:E199">C199</f>
        <v>672324</v>
      </c>
      <c r="D198" s="31">
        <f t="shared" si="34"/>
        <v>408389</v>
      </c>
      <c r="E198" s="31">
        <f t="shared" si="34"/>
        <v>0</v>
      </c>
      <c r="F198" s="31">
        <f>G198+J198</f>
        <v>0</v>
      </c>
      <c r="G198" s="31">
        <f>G199</f>
        <v>0</v>
      </c>
      <c r="H198" s="31"/>
      <c r="I198" s="31"/>
      <c r="J198" s="31">
        <f aca="true" t="shared" si="35" ref="J198:L199">J199</f>
        <v>0</v>
      </c>
      <c r="K198" s="31">
        <f t="shared" si="35"/>
        <v>0</v>
      </c>
      <c r="L198" s="31">
        <f t="shared" si="35"/>
        <v>0</v>
      </c>
      <c r="M198" s="54">
        <f>C198+F198</f>
        <v>672324</v>
      </c>
      <c r="N198" s="55"/>
    </row>
    <row r="199" spans="1:14" s="3" customFormat="1" ht="12.75">
      <c r="A199" s="74" t="s">
        <v>199</v>
      </c>
      <c r="B199" s="75" t="s">
        <v>200</v>
      </c>
      <c r="C199" s="27">
        <f t="shared" si="34"/>
        <v>672324</v>
      </c>
      <c r="D199" s="27">
        <f t="shared" si="34"/>
        <v>408389</v>
      </c>
      <c r="E199" s="27">
        <f t="shared" si="34"/>
        <v>0</v>
      </c>
      <c r="F199" s="27">
        <f>F200</f>
        <v>0</v>
      </c>
      <c r="G199" s="27">
        <f>G200</f>
        <v>0</v>
      </c>
      <c r="H199" s="27"/>
      <c r="I199" s="27"/>
      <c r="J199" s="27">
        <f t="shared" si="35"/>
        <v>0</v>
      </c>
      <c r="K199" s="27">
        <f t="shared" si="35"/>
        <v>0</v>
      </c>
      <c r="L199" s="27">
        <f t="shared" si="35"/>
        <v>0</v>
      </c>
      <c r="M199" s="57">
        <f>C199+F199</f>
        <v>672324</v>
      </c>
      <c r="N199" s="55"/>
    </row>
    <row r="200" spans="1:14" s="3" customFormat="1" ht="12.75">
      <c r="A200" s="7" t="s">
        <v>76</v>
      </c>
      <c r="B200" s="76" t="s">
        <v>77</v>
      </c>
      <c r="C200" s="27">
        <f>789376-18347-30000-49000-22000+550+1745</f>
        <v>672324</v>
      </c>
      <c r="D200" s="27">
        <f>495114-29078-22430-39000+2500+1283</f>
        <v>408389</v>
      </c>
      <c r="E200" s="27"/>
      <c r="F200" s="27">
        <f>G200+J200</f>
        <v>0</v>
      </c>
      <c r="G200" s="136"/>
      <c r="H200" s="27"/>
      <c r="I200" s="27"/>
      <c r="J200" s="27"/>
      <c r="K200" s="27">
        <f>J200</f>
        <v>0</v>
      </c>
      <c r="L200" s="27">
        <f>K200</f>
        <v>0</v>
      </c>
      <c r="M200" s="57">
        <f>C200+F200</f>
        <v>672324</v>
      </c>
      <c r="N200" s="55"/>
    </row>
    <row r="201" spans="1:15" ht="25.5">
      <c r="A201" s="106" t="s">
        <v>371</v>
      </c>
      <c r="B201" s="118" t="s">
        <v>321</v>
      </c>
      <c r="C201" s="53">
        <f>C202+C204+C213+C215+C217</f>
        <v>78145294</v>
      </c>
      <c r="D201" s="53">
        <f>D202+D204+D213+D215+D217</f>
        <v>46730882</v>
      </c>
      <c r="E201" s="53">
        <f>E202+E204+E213+E215+E217</f>
        <v>4034367</v>
      </c>
      <c r="F201" s="53">
        <f>G201+J201</f>
        <v>8743766</v>
      </c>
      <c r="G201" s="53">
        <f aca="true" t="shared" si="36" ref="G201:L201">G202+G204+G213+G215+G217</f>
        <v>5234923</v>
      </c>
      <c r="H201" s="53">
        <f t="shared" si="36"/>
        <v>1804547</v>
      </c>
      <c r="I201" s="53">
        <f t="shared" si="36"/>
        <v>594377</v>
      </c>
      <c r="J201" s="53">
        <f t="shared" si="36"/>
        <v>3508843</v>
      </c>
      <c r="K201" s="53">
        <f>K202+K204+K213+K215+K217</f>
        <v>3230781</v>
      </c>
      <c r="L201" s="53">
        <f t="shared" si="36"/>
        <v>4000</v>
      </c>
      <c r="M201" s="54">
        <f aca="true" t="shared" si="37" ref="M201:M219">C201+F201</f>
        <v>86889060</v>
      </c>
      <c r="N201" s="55"/>
      <c r="O201" s="61"/>
    </row>
    <row r="202" spans="1:15" ht="15" customHeight="1">
      <c r="A202" s="43" t="s">
        <v>199</v>
      </c>
      <c r="B202" s="68" t="s">
        <v>200</v>
      </c>
      <c r="C202" s="37">
        <f>C203</f>
        <v>731333</v>
      </c>
      <c r="D202" s="37">
        <f>D203</f>
        <v>492147</v>
      </c>
      <c r="E202" s="37">
        <f>E203</f>
        <v>53392</v>
      </c>
      <c r="F202" s="38">
        <f aca="true" t="shared" si="38" ref="F202:F218">G202+J202</f>
        <v>0</v>
      </c>
      <c r="G202" s="37"/>
      <c r="H202" s="37"/>
      <c r="I202" s="37"/>
      <c r="J202" s="37"/>
      <c r="K202" s="37"/>
      <c r="L202" s="37"/>
      <c r="M202" s="57">
        <f t="shared" si="37"/>
        <v>731333</v>
      </c>
      <c r="N202" s="55"/>
      <c r="O202" s="61"/>
    </row>
    <row r="203" spans="1:15" ht="12.75">
      <c r="A203" s="40" t="s">
        <v>76</v>
      </c>
      <c r="B203" s="80" t="s">
        <v>77</v>
      </c>
      <c r="C203" s="38">
        <f>725729+9450-3846</f>
        <v>731333</v>
      </c>
      <c r="D203" s="38">
        <f>492147</f>
        <v>492147</v>
      </c>
      <c r="E203" s="38">
        <f>57238-3846</f>
        <v>53392</v>
      </c>
      <c r="F203" s="38">
        <f t="shared" si="38"/>
        <v>0</v>
      </c>
      <c r="G203" s="38"/>
      <c r="H203" s="38"/>
      <c r="I203" s="38"/>
      <c r="J203" s="38"/>
      <c r="K203" s="38"/>
      <c r="L203" s="38"/>
      <c r="M203" s="57">
        <f t="shared" si="37"/>
        <v>731333</v>
      </c>
      <c r="N203" s="55"/>
      <c r="O203" s="61"/>
    </row>
    <row r="204" spans="1:15" ht="12.75">
      <c r="A204" s="40" t="s">
        <v>102</v>
      </c>
      <c r="B204" s="36" t="s">
        <v>60</v>
      </c>
      <c r="C204" s="38">
        <f>SUM(C205:C212)</f>
        <v>77413961</v>
      </c>
      <c r="D204" s="38">
        <f>SUM(D205:D212)</f>
        <v>46238735</v>
      </c>
      <c r="E204" s="38">
        <f>SUM(E205:E212)</f>
        <v>3980975</v>
      </c>
      <c r="F204" s="38">
        <f t="shared" si="38"/>
        <v>8548832</v>
      </c>
      <c r="G204" s="38">
        <f aca="true" t="shared" si="39" ref="G204:L204">SUM(G205:G212)</f>
        <v>5234923</v>
      </c>
      <c r="H204" s="38">
        <f t="shared" si="39"/>
        <v>1804547</v>
      </c>
      <c r="I204" s="38">
        <f t="shared" si="39"/>
        <v>594377</v>
      </c>
      <c r="J204" s="38">
        <f t="shared" si="39"/>
        <v>3313909</v>
      </c>
      <c r="K204" s="38">
        <f>SUM(K205:K212)</f>
        <v>3035847</v>
      </c>
      <c r="L204" s="38">
        <f t="shared" si="39"/>
        <v>4000</v>
      </c>
      <c r="M204" s="57">
        <f t="shared" si="37"/>
        <v>85962793</v>
      </c>
      <c r="N204" s="55"/>
      <c r="O204" s="61"/>
    </row>
    <row r="205" spans="1:15" ht="12.75">
      <c r="A205" s="40">
        <v>110102</v>
      </c>
      <c r="B205" s="73" t="s">
        <v>103</v>
      </c>
      <c r="C205" s="38">
        <f>4516071+37253+1272+38489-80379-1272</f>
        <v>4511434</v>
      </c>
      <c r="D205" s="38"/>
      <c r="E205" s="38"/>
      <c r="F205" s="38">
        <f t="shared" si="38"/>
        <v>194379</v>
      </c>
      <c r="G205" s="38"/>
      <c r="H205" s="38"/>
      <c r="I205" s="38"/>
      <c r="J205" s="38">
        <f>129972+64407</f>
        <v>194379</v>
      </c>
      <c r="K205" s="38">
        <f>J205</f>
        <v>194379</v>
      </c>
      <c r="L205" s="38"/>
      <c r="M205" s="57">
        <f t="shared" si="37"/>
        <v>4705813</v>
      </c>
      <c r="N205" s="55"/>
      <c r="O205" s="61"/>
    </row>
    <row r="206" spans="1:15" ht="12.75">
      <c r="A206" s="40">
        <v>110201</v>
      </c>
      <c r="B206" s="73" t="s">
        <v>104</v>
      </c>
      <c r="C206" s="38">
        <f>13875586+433677+(5000)+(500)+8010+(4000)-38489-(4000)-102190-67915-271605-3230</f>
        <v>13839344</v>
      </c>
      <c r="D206" s="38">
        <f>8168348-78692</f>
        <v>8089656</v>
      </c>
      <c r="E206" s="38">
        <f>1026353-42805</f>
        <v>983548</v>
      </c>
      <c r="F206" s="38">
        <f>G206+J206</f>
        <v>1301841</v>
      </c>
      <c r="G206" s="38">
        <v>10983</v>
      </c>
      <c r="H206" s="38"/>
      <c r="I206" s="38">
        <v>9947</v>
      </c>
      <c r="J206" s="38">
        <f>199451+855624+150000+(2000)+(17500)+(3000)+(24000)+(5000)+(3000)+(18000)+(1000)+(2000)+5340+(4000)-4000+(4943)</f>
        <v>1290858</v>
      </c>
      <c r="K206" s="38">
        <f>150000+855624+150000+(2000)+(17500)+(3000)+(24000)+(5000)+(3000)+(18000)+(1000)+(2000)+5340+(4000)-4000+(4943)</f>
        <v>1241407</v>
      </c>
      <c r="L206" s="38">
        <f>(3000)+(1000)</f>
        <v>4000</v>
      </c>
      <c r="M206" s="57">
        <f t="shared" si="37"/>
        <v>15141185</v>
      </c>
      <c r="N206" s="55"/>
      <c r="O206" s="61"/>
    </row>
    <row r="207" spans="1:15" ht="26.25" customHeight="1">
      <c r="A207" s="40">
        <v>110204</v>
      </c>
      <c r="B207" s="73" t="s">
        <v>183</v>
      </c>
      <c r="C207" s="38">
        <f>7728678+84810+(12000)-2070-129207</f>
        <v>7694211</v>
      </c>
      <c r="D207" s="38">
        <f>3931224-5974</f>
        <v>3925250</v>
      </c>
      <c r="E207" s="38">
        <f>1857070-118386</f>
        <v>1738684</v>
      </c>
      <c r="F207" s="38">
        <f t="shared" si="38"/>
        <v>2704107</v>
      </c>
      <c r="G207" s="38">
        <v>2397350</v>
      </c>
      <c r="H207" s="38">
        <v>743228</v>
      </c>
      <c r="I207" s="38">
        <v>384090</v>
      </c>
      <c r="J207" s="38">
        <f>179687-86+32756+74400+(12000)+(8000)</f>
        <v>306757</v>
      </c>
      <c r="K207" s="38">
        <f>74486-86+32756+74400+(12000)+(8000)</f>
        <v>201556</v>
      </c>
      <c r="L207" s="38"/>
      <c r="M207" s="57">
        <f t="shared" si="37"/>
        <v>10398318</v>
      </c>
      <c r="N207" s="55"/>
      <c r="O207" s="61"/>
    </row>
    <row r="208" spans="1:15" ht="12.75">
      <c r="A208" s="40">
        <v>110205</v>
      </c>
      <c r="B208" s="73" t="s">
        <v>105</v>
      </c>
      <c r="C208" s="38">
        <f>47853431+27731-12958-1421190-9530-230984-21655</f>
        <v>46184845</v>
      </c>
      <c r="D208" s="38">
        <f>33960798-1021524</f>
        <v>32939274</v>
      </c>
      <c r="E208" s="38">
        <f>1334414-12958-111114</f>
        <v>1210342</v>
      </c>
      <c r="F208" s="38">
        <f t="shared" si="38"/>
        <v>4166429</v>
      </c>
      <c r="G208" s="38">
        <v>2826590</v>
      </c>
      <c r="H208" s="38">
        <v>1061319</v>
      </c>
      <c r="I208" s="38">
        <v>200340</v>
      </c>
      <c r="J208" s="38">
        <f>2636102-888380+1051467+(5500)+(3000)+(3000)-213812-5340-68100-1000000-183598</f>
        <v>1339839</v>
      </c>
      <c r="K208" s="81">
        <f>2512692-888380+1051467+(5500)+(3000)+(3000)-213812-5340-68100-1000000-183598</f>
        <v>1216429</v>
      </c>
      <c r="L208" s="38"/>
      <c r="M208" s="57">
        <f t="shared" si="37"/>
        <v>50351274</v>
      </c>
      <c r="N208" s="55"/>
      <c r="O208" s="61"/>
    </row>
    <row r="209" spans="1:15" ht="102" hidden="1">
      <c r="A209" s="40" t="s">
        <v>268</v>
      </c>
      <c r="B209" s="36" t="s">
        <v>267</v>
      </c>
      <c r="C209" s="38"/>
      <c r="D209" s="38"/>
      <c r="E209" s="38"/>
      <c r="F209" s="38">
        <f t="shared" si="38"/>
        <v>0</v>
      </c>
      <c r="G209" s="38"/>
      <c r="H209" s="38"/>
      <c r="I209" s="38"/>
      <c r="J209" s="38"/>
      <c r="K209" s="38"/>
      <c r="L209" s="38"/>
      <c r="M209" s="57">
        <f t="shared" si="37"/>
        <v>0</v>
      </c>
      <c r="N209" s="55"/>
      <c r="O209" s="61"/>
    </row>
    <row r="210" spans="1:15" ht="25.5" hidden="1">
      <c r="A210" s="40"/>
      <c r="B210" s="36" t="s">
        <v>219</v>
      </c>
      <c r="C210" s="38"/>
      <c r="D210" s="38"/>
      <c r="E210" s="38"/>
      <c r="F210" s="38"/>
      <c r="G210" s="38"/>
      <c r="H210" s="38"/>
      <c r="I210" s="38"/>
      <c r="J210" s="38"/>
      <c r="K210" s="38"/>
      <c r="L210" s="38"/>
      <c r="M210" s="57">
        <f t="shared" si="37"/>
        <v>0</v>
      </c>
      <c r="N210" s="55"/>
      <c r="O210" s="61"/>
    </row>
    <row r="211" spans="1:15" ht="12.75">
      <c r="A211" s="40" t="s">
        <v>230</v>
      </c>
      <c r="B211" s="36" t="s">
        <v>231</v>
      </c>
      <c r="C211" s="38">
        <f>1030885+16800</f>
        <v>1047685</v>
      </c>
      <c r="D211" s="38"/>
      <c r="E211" s="38"/>
      <c r="F211" s="38"/>
      <c r="G211" s="38"/>
      <c r="H211" s="38"/>
      <c r="I211" s="38"/>
      <c r="J211" s="38"/>
      <c r="K211" s="38"/>
      <c r="L211" s="38"/>
      <c r="M211" s="57">
        <f t="shared" si="37"/>
        <v>1047685</v>
      </c>
      <c r="N211" s="55"/>
      <c r="O211" s="61"/>
    </row>
    <row r="212" spans="1:15" ht="25.5">
      <c r="A212" s="40">
        <v>110502</v>
      </c>
      <c r="B212" s="36" t="s">
        <v>106</v>
      </c>
      <c r="C212" s="38">
        <f>3866434+335720+1310+12958-34550-10700-33420-1310</f>
        <v>4136442</v>
      </c>
      <c r="D212" s="38">
        <f>1315783-31228</f>
        <v>1284555</v>
      </c>
      <c r="E212" s="38">
        <f>39263+12958-3820</f>
        <v>48401</v>
      </c>
      <c r="F212" s="38">
        <f t="shared" si="38"/>
        <v>182076</v>
      </c>
      <c r="G212" s="38"/>
      <c r="H212" s="38"/>
      <c r="I212" s="38"/>
      <c r="J212" s="38">
        <f>172336+(10000)-260</f>
        <v>182076</v>
      </c>
      <c r="K212" s="38">
        <f>J212</f>
        <v>182076</v>
      </c>
      <c r="L212" s="38"/>
      <c r="M212" s="57">
        <f t="shared" si="37"/>
        <v>4318518</v>
      </c>
      <c r="N212" s="55"/>
      <c r="O212" s="61"/>
    </row>
    <row r="213" spans="1:15" ht="12.75">
      <c r="A213" s="40" t="s">
        <v>203</v>
      </c>
      <c r="B213" s="36" t="s">
        <v>110</v>
      </c>
      <c r="C213" s="38"/>
      <c r="D213" s="38"/>
      <c r="E213" s="38"/>
      <c r="F213" s="38">
        <f t="shared" si="38"/>
        <v>194934</v>
      </c>
      <c r="G213" s="38"/>
      <c r="H213" s="38"/>
      <c r="I213" s="38"/>
      <c r="J213" s="38">
        <f>J214</f>
        <v>194934</v>
      </c>
      <c r="K213" s="38">
        <f>K214</f>
        <v>194934</v>
      </c>
      <c r="L213" s="38"/>
      <c r="M213" s="57">
        <f t="shared" si="37"/>
        <v>194934</v>
      </c>
      <c r="N213" s="55"/>
      <c r="O213" s="61"/>
    </row>
    <row r="214" spans="1:15" s="56" customFormat="1" ht="12.75">
      <c r="A214" s="40" t="s">
        <v>171</v>
      </c>
      <c r="B214" s="36" t="s">
        <v>172</v>
      </c>
      <c r="C214" s="38"/>
      <c r="D214" s="38"/>
      <c r="E214" s="38"/>
      <c r="F214" s="38">
        <f t="shared" si="38"/>
        <v>194934</v>
      </c>
      <c r="G214" s="38"/>
      <c r="H214" s="38"/>
      <c r="I214" s="38"/>
      <c r="J214" s="38">
        <f>K214</f>
        <v>194934</v>
      </c>
      <c r="K214" s="81">
        <v>194934</v>
      </c>
      <c r="L214" s="38"/>
      <c r="M214" s="57">
        <f t="shared" si="37"/>
        <v>194934</v>
      </c>
      <c r="N214" s="55"/>
      <c r="O214" s="55"/>
    </row>
    <row r="215" spans="1:15" s="59" customFormat="1" ht="12.75" hidden="1">
      <c r="A215" s="40" t="s">
        <v>206</v>
      </c>
      <c r="B215" s="36" t="s">
        <v>210</v>
      </c>
      <c r="C215" s="38">
        <f>C216</f>
        <v>0</v>
      </c>
      <c r="D215" s="38">
        <f>D216</f>
        <v>0</v>
      </c>
      <c r="E215" s="38">
        <f>E216</f>
        <v>0</v>
      </c>
      <c r="F215" s="38">
        <f t="shared" si="38"/>
        <v>0</v>
      </c>
      <c r="G215" s="38">
        <f>G216</f>
        <v>0</v>
      </c>
      <c r="H215" s="38">
        <f>H216</f>
        <v>0</v>
      </c>
      <c r="I215" s="38">
        <f>I216</f>
        <v>0</v>
      </c>
      <c r="J215" s="38">
        <f>J216</f>
        <v>0</v>
      </c>
      <c r="K215" s="38">
        <f>K216</f>
        <v>0</v>
      </c>
      <c r="L215" s="38"/>
      <c r="M215" s="57">
        <f t="shared" si="37"/>
        <v>0</v>
      </c>
      <c r="N215" s="55"/>
      <c r="O215" s="58"/>
    </row>
    <row r="216" spans="1:15" ht="25.5" hidden="1">
      <c r="A216" s="40" t="s">
        <v>114</v>
      </c>
      <c r="B216" s="62" t="s">
        <v>166</v>
      </c>
      <c r="C216" s="38"/>
      <c r="D216" s="38"/>
      <c r="E216" s="38"/>
      <c r="F216" s="38">
        <f t="shared" si="38"/>
        <v>0</v>
      </c>
      <c r="G216" s="38"/>
      <c r="H216" s="38"/>
      <c r="I216" s="38"/>
      <c r="J216" s="38"/>
      <c r="K216" s="38"/>
      <c r="L216" s="38"/>
      <c r="M216" s="57">
        <f t="shared" si="37"/>
        <v>0</v>
      </c>
      <c r="N216" s="55"/>
      <c r="O216" s="61"/>
    </row>
    <row r="217" spans="1:15" ht="25.5" hidden="1">
      <c r="A217" s="40" t="s">
        <v>208</v>
      </c>
      <c r="B217" s="44" t="s">
        <v>209</v>
      </c>
      <c r="C217" s="38">
        <f>C218</f>
        <v>0</v>
      </c>
      <c r="D217" s="38">
        <f>D218</f>
        <v>0</v>
      </c>
      <c r="E217" s="38">
        <f>E218</f>
        <v>0</v>
      </c>
      <c r="F217" s="38">
        <f t="shared" si="38"/>
        <v>0</v>
      </c>
      <c r="G217" s="38">
        <f>G218</f>
        <v>0</v>
      </c>
      <c r="H217" s="38">
        <f>H218</f>
        <v>0</v>
      </c>
      <c r="I217" s="38">
        <f>I218</f>
        <v>0</v>
      </c>
      <c r="J217" s="38">
        <f>J218</f>
        <v>0</v>
      </c>
      <c r="K217" s="38">
        <f>K218</f>
        <v>0</v>
      </c>
      <c r="L217" s="38"/>
      <c r="M217" s="57">
        <f t="shared" si="37"/>
        <v>0</v>
      </c>
      <c r="N217" s="55"/>
      <c r="O217" s="61"/>
    </row>
    <row r="218" spans="1:15" ht="12.75" hidden="1">
      <c r="A218" s="40" t="s">
        <v>115</v>
      </c>
      <c r="B218" s="36" t="s">
        <v>149</v>
      </c>
      <c r="C218" s="38"/>
      <c r="D218" s="38"/>
      <c r="E218" s="38"/>
      <c r="F218" s="38">
        <f t="shared" si="38"/>
        <v>0</v>
      </c>
      <c r="G218" s="38"/>
      <c r="H218" s="38"/>
      <c r="I218" s="38"/>
      <c r="J218" s="38"/>
      <c r="K218" s="38"/>
      <c r="L218" s="38"/>
      <c r="M218" s="57">
        <f t="shared" si="37"/>
        <v>0</v>
      </c>
      <c r="N218" s="55"/>
      <c r="O218" s="61"/>
    </row>
    <row r="219" spans="1:15" ht="12.75" hidden="1">
      <c r="A219" s="40"/>
      <c r="B219" s="62"/>
      <c r="C219" s="38"/>
      <c r="D219" s="38"/>
      <c r="E219" s="38"/>
      <c r="F219" s="38"/>
      <c r="G219" s="38"/>
      <c r="H219" s="38"/>
      <c r="I219" s="38"/>
      <c r="J219" s="38"/>
      <c r="K219" s="38"/>
      <c r="L219" s="38"/>
      <c r="M219" s="57">
        <f t="shared" si="37"/>
        <v>0</v>
      </c>
      <c r="N219" s="55"/>
      <c r="O219" s="61"/>
    </row>
    <row r="220" spans="1:15" ht="25.5" hidden="1">
      <c r="A220" s="106" t="s">
        <v>45</v>
      </c>
      <c r="B220" s="117" t="s">
        <v>46</v>
      </c>
      <c r="C220" s="53">
        <f>C221</f>
        <v>0</v>
      </c>
      <c r="D220" s="53">
        <f aca="true" t="shared" si="40" ref="D220:L220">D221</f>
        <v>0</v>
      </c>
      <c r="E220" s="53">
        <f t="shared" si="40"/>
        <v>0</v>
      </c>
      <c r="F220" s="53">
        <f t="shared" si="40"/>
        <v>0</v>
      </c>
      <c r="G220" s="53">
        <f t="shared" si="40"/>
        <v>0</v>
      </c>
      <c r="H220" s="53">
        <f t="shared" si="40"/>
        <v>0</v>
      </c>
      <c r="I220" s="53">
        <f t="shared" si="40"/>
        <v>0</v>
      </c>
      <c r="J220" s="53">
        <f t="shared" si="40"/>
        <v>0</v>
      </c>
      <c r="K220" s="53">
        <f t="shared" si="40"/>
        <v>0</v>
      </c>
      <c r="L220" s="53">
        <f t="shared" si="40"/>
        <v>0</v>
      </c>
      <c r="M220" s="54">
        <f aca="true" t="shared" si="41" ref="M220:M227">C220+F220</f>
        <v>0</v>
      </c>
      <c r="N220" s="55"/>
      <c r="O220" s="61"/>
    </row>
    <row r="221" spans="1:15" ht="12.75" hidden="1">
      <c r="A221" s="43" t="s">
        <v>199</v>
      </c>
      <c r="B221" s="68" t="s">
        <v>200</v>
      </c>
      <c r="C221" s="37">
        <f>C222</f>
        <v>0</v>
      </c>
      <c r="D221" s="37">
        <f>D222</f>
        <v>0</v>
      </c>
      <c r="E221" s="37">
        <f>E222</f>
        <v>0</v>
      </c>
      <c r="F221" s="38">
        <f>G221+J221</f>
        <v>0</v>
      </c>
      <c r="G221" s="38"/>
      <c r="H221" s="38"/>
      <c r="I221" s="38"/>
      <c r="J221" s="38">
        <f>K221</f>
        <v>0</v>
      </c>
      <c r="K221" s="81">
        <f>K222</f>
        <v>0</v>
      </c>
      <c r="L221" s="38"/>
      <c r="M221" s="57">
        <f t="shared" si="41"/>
        <v>0</v>
      </c>
      <c r="N221" s="55"/>
      <c r="O221" s="61"/>
    </row>
    <row r="222" spans="1:15" ht="12.75" hidden="1">
      <c r="A222" s="40" t="s">
        <v>76</v>
      </c>
      <c r="B222" s="80" t="s">
        <v>77</v>
      </c>
      <c r="C222" s="38">
        <f>75441-75441</f>
        <v>0</v>
      </c>
      <c r="D222" s="38">
        <f>39554-39554</f>
        <v>0</v>
      </c>
      <c r="E222" s="38"/>
      <c r="F222" s="38">
        <f>G222+J222</f>
        <v>0</v>
      </c>
      <c r="G222" s="38"/>
      <c r="H222" s="38"/>
      <c r="I222" s="38"/>
      <c r="J222" s="38">
        <f>K222</f>
        <v>0</v>
      </c>
      <c r="K222" s="38">
        <f>25000-25000</f>
        <v>0</v>
      </c>
      <c r="L222" s="38"/>
      <c r="M222" s="57">
        <f t="shared" si="41"/>
        <v>0</v>
      </c>
      <c r="N222" s="55"/>
      <c r="O222" s="61"/>
    </row>
    <row r="223" spans="1:15" ht="38.25">
      <c r="A223" s="106" t="s">
        <v>370</v>
      </c>
      <c r="B223" s="117" t="s">
        <v>342</v>
      </c>
      <c r="C223" s="53">
        <f>C224+C228+C233+C231</f>
        <v>2487259</v>
      </c>
      <c r="D223" s="53">
        <f>D224+D228+D233+D231</f>
        <v>1244245</v>
      </c>
      <c r="E223" s="53">
        <f>E224+E228+E233+E231</f>
        <v>58379</v>
      </c>
      <c r="F223" s="53">
        <f>G223+J223</f>
        <v>508200</v>
      </c>
      <c r="G223" s="53">
        <f>G224+G228+G233+G231</f>
        <v>0</v>
      </c>
      <c r="H223" s="53">
        <f>H224+H228+H233+H231</f>
        <v>0</v>
      </c>
      <c r="I223" s="53">
        <f>I224+I228+I233+I231</f>
        <v>0</v>
      </c>
      <c r="J223" s="53">
        <f>J224+J228+J233+J231+J226</f>
        <v>508200</v>
      </c>
      <c r="K223" s="53">
        <f>K224+K228+K233+K231+K226</f>
        <v>508200</v>
      </c>
      <c r="L223" s="53">
        <f>L224+L228+L233+L231+L226</f>
        <v>0</v>
      </c>
      <c r="M223" s="54">
        <f t="shared" si="41"/>
        <v>2995459</v>
      </c>
      <c r="N223" s="55"/>
      <c r="O223" s="61"/>
    </row>
    <row r="224" spans="1:15" ht="12.75">
      <c r="A224" s="43" t="s">
        <v>199</v>
      </c>
      <c r="B224" s="44" t="s">
        <v>200</v>
      </c>
      <c r="C224" s="37">
        <f>C225</f>
        <v>2027344</v>
      </c>
      <c r="D224" s="37">
        <f>D225</f>
        <v>1244245</v>
      </c>
      <c r="E224" s="37">
        <f>E225</f>
        <v>58379</v>
      </c>
      <c r="F224" s="38">
        <f aca="true" t="shared" si="42" ref="F224:F232">G224+J224</f>
        <v>37000</v>
      </c>
      <c r="G224" s="37"/>
      <c r="H224" s="37"/>
      <c r="I224" s="37"/>
      <c r="J224" s="37">
        <f>J225</f>
        <v>37000</v>
      </c>
      <c r="K224" s="37">
        <f>K225</f>
        <v>37000</v>
      </c>
      <c r="L224" s="37">
        <f>L225</f>
        <v>0</v>
      </c>
      <c r="M224" s="57">
        <f t="shared" si="41"/>
        <v>2064344</v>
      </c>
      <c r="N224" s="55"/>
      <c r="O224" s="61"/>
    </row>
    <row r="225" spans="1:15" ht="12.75">
      <c r="A225" s="40" t="s">
        <v>76</v>
      </c>
      <c r="B225" s="60" t="s">
        <v>77</v>
      </c>
      <c r="C225" s="38">
        <f>2004367+58347-38580+1810+1400</f>
        <v>2027344</v>
      </c>
      <c r="D225" s="38">
        <f>1283325-38580-500</f>
        <v>1244245</v>
      </c>
      <c r="E225" s="38">
        <f>56569+1810</f>
        <v>58379</v>
      </c>
      <c r="F225" s="38">
        <f t="shared" si="42"/>
        <v>37000</v>
      </c>
      <c r="G225" s="38"/>
      <c r="H225" s="38"/>
      <c r="I225" s="38"/>
      <c r="J225" s="38">
        <v>37000</v>
      </c>
      <c r="K225" s="38">
        <f>J225</f>
        <v>37000</v>
      </c>
      <c r="L225" s="38"/>
      <c r="M225" s="57">
        <f t="shared" si="41"/>
        <v>2064344</v>
      </c>
      <c r="N225" s="55"/>
      <c r="O225" s="61"/>
    </row>
    <row r="226" spans="1:15" ht="12.75">
      <c r="A226" s="40" t="s">
        <v>203</v>
      </c>
      <c r="B226" s="36" t="s">
        <v>110</v>
      </c>
      <c r="C226" s="38"/>
      <c r="D226" s="38"/>
      <c r="E226" s="38"/>
      <c r="F226" s="38">
        <f t="shared" si="42"/>
        <v>471200</v>
      </c>
      <c r="G226" s="38"/>
      <c r="H226" s="38"/>
      <c r="I226" s="38"/>
      <c r="J226" s="38">
        <f>J227</f>
        <v>471200</v>
      </c>
      <c r="K226" s="38">
        <f>K227</f>
        <v>471200</v>
      </c>
      <c r="L226" s="38">
        <f>L227</f>
        <v>0</v>
      </c>
      <c r="M226" s="57">
        <f t="shared" si="41"/>
        <v>471200</v>
      </c>
      <c r="N226" s="55"/>
      <c r="O226" s="61"/>
    </row>
    <row r="227" spans="1:15" ht="12.75">
      <c r="A227" s="40" t="s">
        <v>171</v>
      </c>
      <c r="B227" s="36" t="s">
        <v>172</v>
      </c>
      <c r="C227" s="38"/>
      <c r="D227" s="38"/>
      <c r="E227" s="38"/>
      <c r="F227" s="38">
        <f t="shared" si="42"/>
        <v>471200</v>
      </c>
      <c r="G227" s="38"/>
      <c r="H227" s="38"/>
      <c r="I227" s="38"/>
      <c r="J227" s="38">
        <f>K227</f>
        <v>471200</v>
      </c>
      <c r="K227" s="81">
        <f>1573600-502400-100000-500000</f>
        <v>471200</v>
      </c>
      <c r="L227" s="38"/>
      <c r="M227" s="57">
        <f t="shared" si="41"/>
        <v>471200</v>
      </c>
      <c r="N227" s="55"/>
      <c r="O227" s="61"/>
    </row>
    <row r="228" spans="1:15" ht="25.5">
      <c r="A228" s="40" t="s">
        <v>214</v>
      </c>
      <c r="B228" s="60" t="s">
        <v>215</v>
      </c>
      <c r="C228" s="103">
        <f>C229</f>
        <v>108000</v>
      </c>
      <c r="D228" s="38">
        <f aca="true" t="shared" si="43" ref="D228:L228">D229</f>
        <v>0</v>
      </c>
      <c r="E228" s="38">
        <f t="shared" si="43"/>
        <v>0</v>
      </c>
      <c r="F228" s="38">
        <f t="shared" si="43"/>
        <v>0</v>
      </c>
      <c r="G228" s="38">
        <f t="shared" si="43"/>
        <v>0</v>
      </c>
      <c r="H228" s="38">
        <f t="shared" si="43"/>
        <v>0</v>
      </c>
      <c r="I228" s="38">
        <f t="shared" si="43"/>
        <v>0</v>
      </c>
      <c r="J228" s="38">
        <f t="shared" si="43"/>
        <v>0</v>
      </c>
      <c r="K228" s="38">
        <f t="shared" si="43"/>
        <v>0</v>
      </c>
      <c r="L228" s="38">
        <f t="shared" si="43"/>
        <v>0</v>
      </c>
      <c r="M228" s="104">
        <f>C228+F229</f>
        <v>108000</v>
      </c>
      <c r="N228" s="55"/>
      <c r="O228" s="61"/>
    </row>
    <row r="229" spans="1:15" ht="25.5">
      <c r="A229" s="40" t="s">
        <v>111</v>
      </c>
      <c r="B229" s="73" t="s">
        <v>299</v>
      </c>
      <c r="C229" s="38">
        <f>608000-500000</f>
        <v>108000</v>
      </c>
      <c r="D229" s="38"/>
      <c r="E229" s="38"/>
      <c r="F229" s="38">
        <f>G229+J229</f>
        <v>0</v>
      </c>
      <c r="G229" s="38"/>
      <c r="H229" s="38"/>
      <c r="I229" s="38"/>
      <c r="J229" s="38"/>
      <c r="K229" s="38"/>
      <c r="L229" s="38"/>
      <c r="M229" s="57">
        <f>C229+F231</f>
        <v>108000</v>
      </c>
      <c r="N229" s="55"/>
      <c r="O229" s="61"/>
    </row>
    <row r="230" spans="1:15" s="56" customFormat="1" ht="25.5" hidden="1">
      <c r="A230" s="79" t="s">
        <v>130</v>
      </c>
      <c r="B230" s="73" t="s">
        <v>131</v>
      </c>
      <c r="C230" s="38"/>
      <c r="D230" s="38"/>
      <c r="E230" s="38"/>
      <c r="F230" s="38"/>
      <c r="G230" s="38"/>
      <c r="H230" s="38"/>
      <c r="I230" s="38"/>
      <c r="J230" s="38"/>
      <c r="K230" s="38"/>
      <c r="L230" s="38"/>
      <c r="M230" s="57">
        <f>C230+F232</f>
        <v>0</v>
      </c>
      <c r="N230" s="55"/>
      <c r="O230" s="55"/>
    </row>
    <row r="231" spans="1:15" s="59" customFormat="1" ht="12.75" hidden="1">
      <c r="A231" s="40" t="s">
        <v>206</v>
      </c>
      <c r="B231" s="62" t="s">
        <v>210</v>
      </c>
      <c r="C231" s="38"/>
      <c r="D231" s="38"/>
      <c r="E231" s="38"/>
      <c r="F231" s="38">
        <f t="shared" si="42"/>
        <v>0</v>
      </c>
      <c r="G231" s="38">
        <f>G232</f>
        <v>0</v>
      </c>
      <c r="H231" s="38"/>
      <c r="I231" s="38"/>
      <c r="J231" s="38"/>
      <c r="K231" s="38"/>
      <c r="L231" s="38"/>
      <c r="M231" s="57">
        <f>C231+F232</f>
        <v>0</v>
      </c>
      <c r="N231" s="55"/>
      <c r="O231" s="58"/>
    </row>
    <row r="232" spans="1:15" ht="25.5" hidden="1">
      <c r="A232" s="40" t="s">
        <v>114</v>
      </c>
      <c r="B232" s="62" t="s">
        <v>166</v>
      </c>
      <c r="C232" s="38"/>
      <c r="D232" s="38"/>
      <c r="E232" s="38"/>
      <c r="F232" s="38">
        <f t="shared" si="42"/>
        <v>0</v>
      </c>
      <c r="G232" s="38"/>
      <c r="H232" s="38"/>
      <c r="I232" s="38"/>
      <c r="J232" s="38"/>
      <c r="K232" s="38"/>
      <c r="L232" s="38"/>
      <c r="M232" s="57">
        <f aca="true" t="shared" si="44" ref="M232:M271">C232+F232</f>
        <v>0</v>
      </c>
      <c r="N232" s="55"/>
      <c r="O232" s="61"/>
    </row>
    <row r="233" spans="1:15" ht="25.5">
      <c r="A233" s="40" t="s">
        <v>208</v>
      </c>
      <c r="B233" s="62" t="s">
        <v>209</v>
      </c>
      <c r="C233" s="38">
        <f>C234</f>
        <v>351915</v>
      </c>
      <c r="D233" s="38"/>
      <c r="E233" s="38"/>
      <c r="F233" s="38"/>
      <c r="G233" s="38"/>
      <c r="H233" s="38"/>
      <c r="I233" s="38"/>
      <c r="J233" s="38"/>
      <c r="K233" s="38"/>
      <c r="L233" s="38"/>
      <c r="M233" s="57">
        <f t="shared" si="44"/>
        <v>351915</v>
      </c>
      <c r="N233" s="55"/>
      <c r="O233" s="61"/>
    </row>
    <row r="234" spans="1:15" ht="12.75">
      <c r="A234" s="40" t="s">
        <v>115</v>
      </c>
      <c r="B234" s="36" t="s">
        <v>149</v>
      </c>
      <c r="C234" s="38">
        <f>C235</f>
        <v>351915</v>
      </c>
      <c r="D234" s="38"/>
      <c r="E234" s="38"/>
      <c r="F234" s="38"/>
      <c r="G234" s="38"/>
      <c r="H234" s="38"/>
      <c r="I234" s="38"/>
      <c r="J234" s="38"/>
      <c r="K234" s="38"/>
      <c r="L234" s="38"/>
      <c r="M234" s="57">
        <f t="shared" si="44"/>
        <v>351915</v>
      </c>
      <c r="N234" s="55"/>
      <c r="O234" s="61"/>
    </row>
    <row r="235" spans="1:15" ht="25.5" hidden="1">
      <c r="A235" s="40"/>
      <c r="B235" s="36" t="s">
        <v>62</v>
      </c>
      <c r="C235" s="38">
        <f>326800+25115</f>
        <v>351915</v>
      </c>
      <c r="D235" s="38"/>
      <c r="E235" s="38"/>
      <c r="F235" s="38"/>
      <c r="G235" s="38"/>
      <c r="H235" s="38"/>
      <c r="I235" s="38"/>
      <c r="J235" s="38"/>
      <c r="K235" s="38"/>
      <c r="L235" s="38"/>
      <c r="M235" s="57">
        <f t="shared" si="44"/>
        <v>351915</v>
      </c>
      <c r="N235" s="55"/>
      <c r="O235" s="61"/>
    </row>
    <row r="236" spans="1:15" ht="25.5">
      <c r="A236" s="106" t="s">
        <v>379</v>
      </c>
      <c r="B236" s="120" t="s">
        <v>324</v>
      </c>
      <c r="C236" s="53">
        <f>C238</f>
        <v>629892</v>
      </c>
      <c r="D236" s="53">
        <f aca="true" t="shared" si="45" ref="D236:L236">D238</f>
        <v>422627</v>
      </c>
      <c r="E236" s="53">
        <f t="shared" si="45"/>
        <v>0</v>
      </c>
      <c r="F236" s="53">
        <f t="shared" si="45"/>
        <v>168214</v>
      </c>
      <c r="G236" s="53">
        <f t="shared" si="45"/>
        <v>125164</v>
      </c>
      <c r="H236" s="53">
        <f t="shared" si="45"/>
        <v>0</v>
      </c>
      <c r="I236" s="53">
        <f t="shared" si="45"/>
        <v>0</v>
      </c>
      <c r="J236" s="53">
        <f t="shared" si="45"/>
        <v>43050</v>
      </c>
      <c r="K236" s="53">
        <f t="shared" si="45"/>
        <v>43050</v>
      </c>
      <c r="L236" s="53">
        <f t="shared" si="45"/>
        <v>0</v>
      </c>
      <c r="M236" s="54">
        <f t="shared" si="44"/>
        <v>798106</v>
      </c>
      <c r="N236" s="55"/>
      <c r="O236" s="61"/>
    </row>
    <row r="237" spans="1:15" ht="12.75">
      <c r="A237" s="43" t="s">
        <v>199</v>
      </c>
      <c r="B237" s="44" t="s">
        <v>200</v>
      </c>
      <c r="C237" s="37">
        <f>C238</f>
        <v>629892</v>
      </c>
      <c r="D237" s="37">
        <f>D238</f>
        <v>422627</v>
      </c>
      <c r="E237" s="37">
        <f>E238</f>
        <v>0</v>
      </c>
      <c r="F237" s="37">
        <f>F238</f>
        <v>168214</v>
      </c>
      <c r="G237" s="37">
        <f>G238</f>
        <v>125164</v>
      </c>
      <c r="H237" s="37"/>
      <c r="I237" s="37"/>
      <c r="J237" s="37">
        <f>J238</f>
        <v>43050</v>
      </c>
      <c r="K237" s="37">
        <f>K238</f>
        <v>43050</v>
      </c>
      <c r="L237" s="37">
        <f>L238</f>
        <v>0</v>
      </c>
      <c r="M237" s="57">
        <f t="shared" si="44"/>
        <v>798106</v>
      </c>
      <c r="N237" s="55"/>
      <c r="O237" s="61"/>
    </row>
    <row r="238" spans="1:15" ht="12.75">
      <c r="A238" s="40" t="s">
        <v>76</v>
      </c>
      <c r="B238" s="60" t="s">
        <v>77</v>
      </c>
      <c r="C238" s="38">
        <f>1128250+18212-44130-1147-471293</f>
        <v>629892</v>
      </c>
      <c r="D238" s="38">
        <f>790585-35940-332018</f>
        <v>422627</v>
      </c>
      <c r="E238" s="37"/>
      <c r="F238" s="38">
        <f>G238+J238</f>
        <v>168214</v>
      </c>
      <c r="G238" s="81">
        <v>125164</v>
      </c>
      <c r="H238" s="38"/>
      <c r="I238" s="38"/>
      <c r="J238" s="81">
        <f>K238</f>
        <v>43050</v>
      </c>
      <c r="K238" s="81">
        <v>43050</v>
      </c>
      <c r="L238" s="141"/>
      <c r="M238" s="57">
        <f t="shared" si="44"/>
        <v>798106</v>
      </c>
      <c r="N238" s="55"/>
      <c r="O238" s="61"/>
    </row>
    <row r="239" spans="1:15" ht="24">
      <c r="A239" s="143" t="s">
        <v>367</v>
      </c>
      <c r="B239" s="119" t="s">
        <v>4</v>
      </c>
      <c r="C239" s="53">
        <f>C240+C242+C244+C256+C260+C263+C267</f>
        <v>110758413</v>
      </c>
      <c r="D239" s="53">
        <f>D240+D242+D244+D256+D260+D263+D267</f>
        <v>1959681</v>
      </c>
      <c r="E239" s="53">
        <f>E240+E242+E244+E256+E260+E263+E267</f>
        <v>177097</v>
      </c>
      <c r="F239" s="53">
        <f>G239+J239</f>
        <v>162499171</v>
      </c>
      <c r="G239" s="53">
        <f aca="true" t="shared" si="46" ref="G239:L239">G240+G242+G244+G256+G260+G263+G267+G265</f>
        <v>16845800</v>
      </c>
      <c r="H239" s="53">
        <f t="shared" si="46"/>
        <v>0</v>
      </c>
      <c r="I239" s="53">
        <f t="shared" si="46"/>
        <v>0</v>
      </c>
      <c r="J239" s="53">
        <f t="shared" si="46"/>
        <v>145653371</v>
      </c>
      <c r="K239" s="53">
        <f t="shared" si="46"/>
        <v>113886454</v>
      </c>
      <c r="L239" s="53">
        <f t="shared" si="46"/>
        <v>16603560</v>
      </c>
      <c r="M239" s="54">
        <f t="shared" si="44"/>
        <v>273257584</v>
      </c>
      <c r="N239" s="55"/>
      <c r="O239" s="61"/>
    </row>
    <row r="240" spans="1:15" ht="12.75">
      <c r="A240" s="43" t="s">
        <v>199</v>
      </c>
      <c r="B240" s="44" t="s">
        <v>200</v>
      </c>
      <c r="C240" s="37">
        <f>C241</f>
        <v>3239584</v>
      </c>
      <c r="D240" s="37">
        <f>D241</f>
        <v>1959681</v>
      </c>
      <c r="E240" s="37">
        <f>E241</f>
        <v>177097</v>
      </c>
      <c r="F240" s="38">
        <f>G240+J240</f>
        <v>90000</v>
      </c>
      <c r="G240" s="37"/>
      <c r="H240" s="37"/>
      <c r="I240" s="37"/>
      <c r="J240" s="37">
        <f>J241</f>
        <v>90000</v>
      </c>
      <c r="K240" s="37">
        <f>K241</f>
        <v>90000</v>
      </c>
      <c r="L240" s="37">
        <f>L241</f>
        <v>0</v>
      </c>
      <c r="M240" s="57">
        <f t="shared" si="44"/>
        <v>3329584</v>
      </c>
      <c r="N240" s="55"/>
      <c r="O240" s="61"/>
    </row>
    <row r="241" spans="1:15" ht="12.75">
      <c r="A241" s="40" t="s">
        <v>76</v>
      </c>
      <c r="B241" s="60" t="s">
        <v>77</v>
      </c>
      <c r="C241" s="38">
        <f>3286992+84099+19+2797-8533-30000-2290-79500-14000</f>
        <v>3239584</v>
      </c>
      <c r="D241" s="38">
        <f>2196487-6260-174846-55700</f>
        <v>1959681</v>
      </c>
      <c r="E241" s="38">
        <f>106979+84099+19-14000</f>
        <v>177097</v>
      </c>
      <c r="F241" s="38">
        <f>G241+J241</f>
        <v>90000</v>
      </c>
      <c r="G241" s="38"/>
      <c r="H241" s="38"/>
      <c r="I241" s="38"/>
      <c r="J241" s="81">
        <f>60000+30000</f>
        <v>90000</v>
      </c>
      <c r="K241" s="81">
        <f>J241</f>
        <v>90000</v>
      </c>
      <c r="L241" s="38"/>
      <c r="M241" s="57">
        <f t="shared" si="44"/>
        <v>3329584</v>
      </c>
      <c r="N241" s="55"/>
      <c r="O241" s="61"/>
    </row>
    <row r="242" spans="1:15" ht="25.5">
      <c r="A242" s="40" t="s">
        <v>98</v>
      </c>
      <c r="B242" s="60" t="s">
        <v>150</v>
      </c>
      <c r="C242" s="38">
        <f>C243</f>
        <v>135947</v>
      </c>
      <c r="D242" s="38">
        <f>D243</f>
        <v>0</v>
      </c>
      <c r="E242" s="38">
        <f>E243</f>
        <v>0</v>
      </c>
      <c r="F242" s="38">
        <f aca="true" t="shared" si="47" ref="F242:F273">G242+J242</f>
        <v>0</v>
      </c>
      <c r="G242" s="38"/>
      <c r="H242" s="38"/>
      <c r="I242" s="38"/>
      <c r="J242" s="81"/>
      <c r="K242" s="81"/>
      <c r="L242" s="38"/>
      <c r="M242" s="57">
        <f t="shared" si="44"/>
        <v>135947</v>
      </c>
      <c r="N242" s="55"/>
      <c r="O242" s="61"/>
    </row>
    <row r="243" spans="1:15" ht="25.5">
      <c r="A243" s="40" t="s">
        <v>99</v>
      </c>
      <c r="B243" s="36" t="s">
        <v>164</v>
      </c>
      <c r="C243" s="38">
        <f>98000-19000+19000+15947+22000</f>
        <v>135947</v>
      </c>
      <c r="D243" s="38"/>
      <c r="E243" s="38"/>
      <c r="F243" s="38">
        <f t="shared" si="47"/>
        <v>0</v>
      </c>
      <c r="G243" s="38"/>
      <c r="H243" s="38"/>
      <c r="I243" s="38"/>
      <c r="J243" s="81"/>
      <c r="K243" s="81"/>
      <c r="L243" s="38"/>
      <c r="M243" s="57">
        <f t="shared" si="44"/>
        <v>135947</v>
      </c>
      <c r="N243" s="55"/>
      <c r="O243" s="61"/>
    </row>
    <row r="244" spans="1:15" ht="12.75">
      <c r="A244" s="40" t="s">
        <v>211</v>
      </c>
      <c r="B244" s="36" t="s">
        <v>213</v>
      </c>
      <c r="C244" s="38">
        <f>C245+C251+C252+C254+C255</f>
        <v>85069983</v>
      </c>
      <c r="D244" s="38">
        <f>D245+D251+D252+D254</f>
        <v>0</v>
      </c>
      <c r="E244" s="38">
        <f>E245+E251+E252+E254</f>
        <v>0</v>
      </c>
      <c r="F244" s="38">
        <f>G244+J244</f>
        <v>51724678</v>
      </c>
      <c r="G244" s="38">
        <f aca="true" t="shared" si="48" ref="G244:L244">G245+G251+G252+G254</f>
        <v>0</v>
      </c>
      <c r="H244" s="38">
        <f t="shared" si="48"/>
        <v>0</v>
      </c>
      <c r="I244" s="38">
        <f t="shared" si="48"/>
        <v>0</v>
      </c>
      <c r="J244" s="38">
        <f>J245+J251+J252+J254+J253+J255</f>
        <v>51724678</v>
      </c>
      <c r="K244" s="38">
        <f>K245+K251+K252+K254+K253+K255</f>
        <v>51724678</v>
      </c>
      <c r="L244" s="38">
        <f t="shared" si="48"/>
        <v>10903560</v>
      </c>
      <c r="M244" s="57">
        <f>C244+F244</f>
        <v>136794661</v>
      </c>
      <c r="N244" s="55"/>
      <c r="O244" s="61"/>
    </row>
    <row r="245" spans="1:15" ht="23.25" customHeight="1">
      <c r="A245" s="79" t="s">
        <v>5</v>
      </c>
      <c r="B245" s="80" t="s">
        <v>6</v>
      </c>
      <c r="C245" s="38">
        <f>SUM(C246:C250)</f>
        <v>8969685</v>
      </c>
      <c r="D245" s="38"/>
      <c r="E245" s="38"/>
      <c r="F245" s="38">
        <f t="shared" si="47"/>
        <v>0</v>
      </c>
      <c r="G245" s="38"/>
      <c r="H245" s="38"/>
      <c r="I245" s="38"/>
      <c r="J245" s="81"/>
      <c r="K245" s="81"/>
      <c r="L245" s="38"/>
      <c r="M245" s="57">
        <f t="shared" si="44"/>
        <v>8969685</v>
      </c>
      <c r="N245" s="55"/>
      <c r="O245" s="61"/>
    </row>
    <row r="246" spans="1:15" ht="25.5" customHeight="1" hidden="1">
      <c r="A246" s="79"/>
      <c r="B246" s="80" t="s">
        <v>7</v>
      </c>
      <c r="C246" s="38">
        <f>4000000+1701739-141920</f>
        <v>5559819</v>
      </c>
      <c r="D246" s="38"/>
      <c r="E246" s="38"/>
      <c r="F246" s="38">
        <f t="shared" si="47"/>
        <v>0</v>
      </c>
      <c r="G246" s="38"/>
      <c r="H246" s="38"/>
      <c r="I246" s="38"/>
      <c r="J246" s="81"/>
      <c r="K246" s="81"/>
      <c r="L246" s="38"/>
      <c r="M246" s="57">
        <f>C246+F246</f>
        <v>5559819</v>
      </c>
      <c r="N246" s="55"/>
      <c r="O246" s="61"/>
    </row>
    <row r="247" spans="1:15" ht="53.25" customHeight="1" hidden="1">
      <c r="A247" s="40"/>
      <c r="B247" s="73" t="s">
        <v>8</v>
      </c>
      <c r="C247" s="38">
        <f>374795+79165</f>
        <v>453960</v>
      </c>
      <c r="D247" s="38"/>
      <c r="E247" s="38"/>
      <c r="F247" s="38">
        <f t="shared" si="47"/>
        <v>0</v>
      </c>
      <c r="G247" s="38"/>
      <c r="H247" s="38"/>
      <c r="I247" s="38"/>
      <c r="J247" s="38"/>
      <c r="K247" s="38"/>
      <c r="L247" s="38"/>
      <c r="M247" s="57">
        <f t="shared" si="44"/>
        <v>453960</v>
      </c>
      <c r="N247" s="55"/>
      <c r="O247" s="61"/>
    </row>
    <row r="248" spans="1:15" ht="41.25" customHeight="1" hidden="1">
      <c r="A248" s="40"/>
      <c r="B248" s="73" t="s">
        <v>26</v>
      </c>
      <c r="C248" s="38">
        <f>922684+(95000)+(69900)+959943+(79500)+(8000)+(36100)+(10000)+82000-82000-(10000)</f>
        <v>2171127</v>
      </c>
      <c r="D248" s="38"/>
      <c r="E248" s="38"/>
      <c r="F248" s="38"/>
      <c r="G248" s="38"/>
      <c r="H248" s="38"/>
      <c r="I248" s="38"/>
      <c r="J248" s="38"/>
      <c r="K248" s="38"/>
      <c r="L248" s="38"/>
      <c r="M248" s="57">
        <f t="shared" si="44"/>
        <v>2171127</v>
      </c>
      <c r="N248" s="55"/>
      <c r="O248" s="61"/>
    </row>
    <row r="249" spans="1:15" ht="53.25" customHeight="1" hidden="1">
      <c r="A249" s="40"/>
      <c r="B249" s="73" t="s">
        <v>27</v>
      </c>
      <c r="C249" s="38">
        <v>727521</v>
      </c>
      <c r="D249" s="38"/>
      <c r="E249" s="38"/>
      <c r="F249" s="38"/>
      <c r="G249" s="38"/>
      <c r="H249" s="38"/>
      <c r="I249" s="38"/>
      <c r="J249" s="38"/>
      <c r="K249" s="38"/>
      <c r="L249" s="38"/>
      <c r="M249" s="57">
        <f>C249+F249</f>
        <v>727521</v>
      </c>
      <c r="N249" s="55"/>
      <c r="O249" s="61"/>
    </row>
    <row r="250" spans="1:15" ht="25.5" hidden="1">
      <c r="A250" s="40"/>
      <c r="B250" s="73" t="s">
        <v>37</v>
      </c>
      <c r="C250" s="38">
        <v>57258</v>
      </c>
      <c r="D250" s="38"/>
      <c r="E250" s="38"/>
      <c r="F250" s="38"/>
      <c r="G250" s="38"/>
      <c r="H250" s="38"/>
      <c r="I250" s="38"/>
      <c r="J250" s="38"/>
      <c r="K250" s="38"/>
      <c r="L250" s="38"/>
      <c r="M250" s="57">
        <f>C250+F250</f>
        <v>57258</v>
      </c>
      <c r="N250" s="55"/>
      <c r="O250" s="61"/>
    </row>
    <row r="251" spans="1:15" ht="25.5">
      <c r="A251" s="79" t="s">
        <v>223</v>
      </c>
      <c r="B251" s="73" t="s">
        <v>292</v>
      </c>
      <c r="C251" s="38"/>
      <c r="D251" s="38"/>
      <c r="E251" s="38"/>
      <c r="F251" s="38">
        <f t="shared" si="47"/>
        <v>48255289</v>
      </c>
      <c r="G251" s="38"/>
      <c r="H251" s="38"/>
      <c r="I251" s="38"/>
      <c r="J251" s="38">
        <f>K251</f>
        <v>48255289</v>
      </c>
      <c r="K251" s="81">
        <f>30715000+7409833+(100000)+(80000)-(2000)+9994025+(50000)+(25000)-483781+9452864+(24000)-467396+6930+(20000)+(7500)-3422989+(28000)+(10000)+(5000)-3211188+(6400)-5914820+5815780-(8000)-1851594-(35300)-(30000)-(67975)</f>
        <v>48255289</v>
      </c>
      <c r="L251" s="81">
        <f>38124833+(25000)-7409833-(2000)-30715000+(7500)+10000000-25000+3000000-(8000)-4935328+2926388-11000-74000</f>
        <v>10903560</v>
      </c>
      <c r="M251" s="57">
        <f t="shared" si="44"/>
        <v>48255289</v>
      </c>
      <c r="N251" s="55"/>
      <c r="O251" s="61"/>
    </row>
    <row r="252" spans="1:15" ht="25.5" hidden="1">
      <c r="A252" s="79" t="s">
        <v>254</v>
      </c>
      <c r="B252" s="73" t="s">
        <v>255</v>
      </c>
      <c r="C252" s="38">
        <f>449300+1000000-1449300</f>
        <v>0</v>
      </c>
      <c r="D252" s="38"/>
      <c r="E252" s="38"/>
      <c r="F252" s="38">
        <f t="shared" si="47"/>
        <v>0</v>
      </c>
      <c r="G252" s="38"/>
      <c r="H252" s="38"/>
      <c r="I252" s="38"/>
      <c r="J252" s="38"/>
      <c r="K252" s="81"/>
      <c r="L252" s="81"/>
      <c r="M252" s="57">
        <f t="shared" si="44"/>
        <v>0</v>
      </c>
      <c r="N252" s="55"/>
      <c r="O252" s="61"/>
    </row>
    <row r="253" spans="1:15" ht="38.25">
      <c r="A253" s="79" t="s">
        <v>34</v>
      </c>
      <c r="B253" s="73" t="s">
        <v>35</v>
      </c>
      <c r="C253" s="38"/>
      <c r="D253" s="38"/>
      <c r="E253" s="38"/>
      <c r="F253" s="38">
        <f t="shared" si="47"/>
        <v>901811</v>
      </c>
      <c r="G253" s="38"/>
      <c r="H253" s="38"/>
      <c r="I253" s="38"/>
      <c r="J253" s="38">
        <f>K253</f>
        <v>901811</v>
      </c>
      <c r="K253" s="81">
        <f>483781+467396+99040-148406</f>
        <v>901811</v>
      </c>
      <c r="L253" s="81"/>
      <c r="M253" s="57">
        <f t="shared" si="44"/>
        <v>901811</v>
      </c>
      <c r="N253" s="55"/>
      <c r="O253" s="61"/>
    </row>
    <row r="254" spans="1:15" ht="12.75">
      <c r="A254" s="79" t="s">
        <v>285</v>
      </c>
      <c r="B254" s="73" t="s">
        <v>291</v>
      </c>
      <c r="C254" s="81">
        <f>83830000-500000-50000-12778086+12778086+1761901-3100000+(3000)+(26000)-290000-108900-147305-1700000+293100+172395-33000-1897258-82000-166135-29000-2837500-99000+1054000</f>
        <v>76100298</v>
      </c>
      <c r="D254" s="38"/>
      <c r="E254" s="38"/>
      <c r="F254" s="38">
        <f>G254+J254</f>
        <v>2567578</v>
      </c>
      <c r="G254" s="38"/>
      <c r="H254" s="38"/>
      <c r="I254" s="38"/>
      <c r="J254" s="38">
        <f>4900000+319273-2300000+708121+(41700)+52805-547012+(10000)+110000+(20000)-(14700)-248612+290003-774000</f>
        <v>2567578</v>
      </c>
      <c r="K254" s="81">
        <f>4900000+319273-2300000+708121+(41700)+52805-547012+(10000)+110000+(20000)-(14700)-248612+290003-774000</f>
        <v>2567578</v>
      </c>
      <c r="L254" s="81">
        <f>4000000-1700000-2300000</f>
        <v>0</v>
      </c>
      <c r="M254" s="57">
        <f>C254+F254</f>
        <v>78667876</v>
      </c>
      <c r="N254" s="55"/>
      <c r="O254" s="61"/>
    </row>
    <row r="255" spans="1:15" ht="25.5" hidden="1">
      <c r="A255" s="79" t="s">
        <v>38</v>
      </c>
      <c r="B255" s="73" t="s">
        <v>39</v>
      </c>
      <c r="C255" s="141"/>
      <c r="D255" s="38"/>
      <c r="E255" s="38"/>
      <c r="F255" s="38">
        <f>G255+J255</f>
        <v>0</v>
      </c>
      <c r="G255" s="38"/>
      <c r="H255" s="38"/>
      <c r="I255" s="38"/>
      <c r="J255" s="38"/>
      <c r="K255" s="81"/>
      <c r="L255" s="81"/>
      <c r="M255" s="57">
        <f>C255+F255</f>
        <v>0</v>
      </c>
      <c r="N255" s="55"/>
      <c r="O255" s="61"/>
    </row>
    <row r="256" spans="1:15" ht="12.75">
      <c r="A256" s="40" t="s">
        <v>203</v>
      </c>
      <c r="B256" s="36" t="s">
        <v>110</v>
      </c>
      <c r="C256" s="38">
        <f>C257+C259</f>
        <v>0</v>
      </c>
      <c r="D256" s="38">
        <f>D257+D259</f>
        <v>0</v>
      </c>
      <c r="E256" s="38">
        <f>E257+E259</f>
        <v>0</v>
      </c>
      <c r="F256" s="38">
        <f>G256+J256</f>
        <v>44331896</v>
      </c>
      <c r="G256" s="38">
        <f>G257+G259</f>
        <v>0</v>
      </c>
      <c r="H256" s="38">
        <f>H257+H259</f>
        <v>0</v>
      </c>
      <c r="I256" s="38">
        <f>I257+I259</f>
        <v>0</v>
      </c>
      <c r="J256" s="38">
        <f>J257+J259+J258</f>
        <v>44331896</v>
      </c>
      <c r="K256" s="81">
        <f>K257+K259+K258</f>
        <v>44331896</v>
      </c>
      <c r="L256" s="81">
        <f>L257+L259+L258</f>
        <v>4000000</v>
      </c>
      <c r="M256" s="57">
        <f t="shared" si="44"/>
        <v>44331896</v>
      </c>
      <c r="N256" s="55"/>
      <c r="O256" s="61"/>
    </row>
    <row r="257" spans="1:15" ht="12.75">
      <c r="A257" s="40" t="s">
        <v>171</v>
      </c>
      <c r="B257" s="36" t="s">
        <v>172</v>
      </c>
      <c r="C257" s="38"/>
      <c r="D257" s="38"/>
      <c r="E257" s="38"/>
      <c r="F257" s="38">
        <f t="shared" si="47"/>
        <v>24131896</v>
      </c>
      <c r="G257" s="38"/>
      <c r="H257" s="38"/>
      <c r="I257" s="38"/>
      <c r="J257" s="38">
        <f>K257</f>
        <v>24131896</v>
      </c>
      <c r="K257" s="81">
        <f>34419065+840000+560000+1430035+181-260000-300000-171764+316461-19201+140000+1446074+1000000-24000+569922+12309200-24459+500000+4640840+(10000)+199007-10412807+(15000)+376904+1000000-1600000-1292780-4640840-1000000-619381+180000-721443-8944128+2264634-318576-3799+53341-815502+318720+386782-140000+85000-2672101+248612-2217601-310900-168514-601058-864579-604138-318720-111591</f>
        <v>24131896</v>
      </c>
      <c r="L257" s="81">
        <f>9684064-9684064+30715000-959943-111430-4099600-48174+17500-1552916-1269530-5000000-17690907+8000000-626235-1373765-600000-900000-700000</f>
        <v>3800000</v>
      </c>
      <c r="M257" s="57">
        <f t="shared" si="44"/>
        <v>24131896</v>
      </c>
      <c r="N257" s="55"/>
      <c r="O257" s="61"/>
    </row>
    <row r="258" spans="1:15" ht="38.25">
      <c r="A258" s="79" t="s">
        <v>309</v>
      </c>
      <c r="B258" s="36" t="s">
        <v>310</v>
      </c>
      <c r="C258" s="38"/>
      <c r="D258" s="38"/>
      <c r="E258" s="38"/>
      <c r="F258" s="38">
        <f t="shared" si="47"/>
        <v>20200000</v>
      </c>
      <c r="G258" s="38"/>
      <c r="H258" s="38"/>
      <c r="I258" s="38"/>
      <c r="J258" s="38">
        <f>K258</f>
        <v>20200000</v>
      </c>
      <c r="K258" s="81">
        <f>1292780+20000000+200000-1292780</f>
        <v>20200000</v>
      </c>
      <c r="L258" s="81">
        <f>200000+20000000-10000000-2000000-8000000</f>
        <v>200000</v>
      </c>
      <c r="M258" s="57">
        <f t="shared" si="44"/>
        <v>20200000</v>
      </c>
      <c r="N258" s="55"/>
      <c r="O258" s="61"/>
    </row>
    <row r="259" spans="1:15" ht="63.75" hidden="1">
      <c r="A259" s="40" t="s">
        <v>186</v>
      </c>
      <c r="B259" s="60" t="s">
        <v>187</v>
      </c>
      <c r="C259" s="38"/>
      <c r="D259" s="38"/>
      <c r="E259" s="38"/>
      <c r="F259" s="38">
        <f t="shared" si="47"/>
        <v>0</v>
      </c>
      <c r="G259" s="38"/>
      <c r="H259" s="38"/>
      <c r="I259" s="38"/>
      <c r="J259" s="38">
        <f>K259</f>
        <v>0</v>
      </c>
      <c r="K259" s="38"/>
      <c r="L259" s="38"/>
      <c r="M259" s="57">
        <f t="shared" si="44"/>
        <v>0</v>
      </c>
      <c r="N259" s="55"/>
      <c r="O259" s="61"/>
    </row>
    <row r="260" spans="1:15" ht="40.5" customHeight="1">
      <c r="A260" s="40" t="s">
        <v>204</v>
      </c>
      <c r="B260" s="60" t="s">
        <v>205</v>
      </c>
      <c r="C260" s="38">
        <f>C261</f>
        <v>0</v>
      </c>
      <c r="D260" s="38">
        <f>D261</f>
        <v>0</v>
      </c>
      <c r="E260" s="38">
        <f>E261</f>
        <v>0</v>
      </c>
      <c r="F260" s="38">
        <f t="shared" si="47"/>
        <v>44254981</v>
      </c>
      <c r="G260" s="38">
        <f aca="true" t="shared" si="49" ref="G260:L260">G261</f>
        <v>16845800</v>
      </c>
      <c r="H260" s="38">
        <f t="shared" si="49"/>
        <v>0</v>
      </c>
      <c r="I260" s="38">
        <f t="shared" si="49"/>
        <v>0</v>
      </c>
      <c r="J260" s="38">
        <f t="shared" si="49"/>
        <v>27409181</v>
      </c>
      <c r="K260" s="38">
        <f t="shared" si="49"/>
        <v>0</v>
      </c>
      <c r="L260" s="38">
        <f t="shared" si="49"/>
        <v>0</v>
      </c>
      <c r="M260" s="57">
        <f t="shared" si="44"/>
        <v>44254981</v>
      </c>
      <c r="N260" s="55"/>
      <c r="O260" s="61"/>
    </row>
    <row r="261" spans="1:15" ht="51">
      <c r="A261" s="40">
        <v>170703</v>
      </c>
      <c r="B261" s="36" t="s">
        <v>59</v>
      </c>
      <c r="C261" s="38"/>
      <c r="D261" s="38"/>
      <c r="E261" s="38"/>
      <c r="F261" s="38">
        <f t="shared" si="47"/>
        <v>44254981</v>
      </c>
      <c r="G261" s="38">
        <f>13274112-12-338135+3154957+655884+98994</f>
        <v>16845800</v>
      </c>
      <c r="H261" s="38"/>
      <c r="I261" s="38"/>
      <c r="J261" s="38">
        <f>20939988+12+338135+5935249+294791-98994</f>
        <v>27409181</v>
      </c>
      <c r="K261" s="38"/>
      <c r="L261" s="38"/>
      <c r="M261" s="57">
        <f t="shared" si="44"/>
        <v>44254981</v>
      </c>
      <c r="N261" s="55"/>
      <c r="O261" s="61"/>
    </row>
    <row r="262" spans="1:15" ht="76.5">
      <c r="A262" s="40"/>
      <c r="B262" s="73" t="s">
        <v>351</v>
      </c>
      <c r="C262" s="38"/>
      <c r="D262" s="38"/>
      <c r="E262" s="38"/>
      <c r="F262" s="38">
        <f t="shared" si="47"/>
        <v>39884306</v>
      </c>
      <c r="G262" s="38">
        <f>9854112-12+3154957</f>
        <v>13009057</v>
      </c>
      <c r="H262" s="38"/>
      <c r="I262" s="38"/>
      <c r="J262" s="38">
        <f>20939988+12+5935249</f>
        <v>26875249</v>
      </c>
      <c r="K262" s="38"/>
      <c r="L262" s="38"/>
      <c r="M262" s="57">
        <f t="shared" si="44"/>
        <v>39884306</v>
      </c>
      <c r="N262" s="55"/>
      <c r="O262" s="61"/>
    </row>
    <row r="263" spans="1:15" ht="25.5">
      <c r="A263" s="40" t="s">
        <v>214</v>
      </c>
      <c r="B263" s="60" t="s">
        <v>215</v>
      </c>
      <c r="C263" s="38">
        <f>C264</f>
        <v>0</v>
      </c>
      <c r="D263" s="38">
        <f>D264</f>
        <v>0</v>
      </c>
      <c r="E263" s="38">
        <f>E264</f>
        <v>0</v>
      </c>
      <c r="F263" s="38">
        <f t="shared" si="47"/>
        <v>14897731</v>
      </c>
      <c r="G263" s="38">
        <f aca="true" t="shared" si="50" ref="G263:L263">G264</f>
        <v>0</v>
      </c>
      <c r="H263" s="38">
        <f t="shared" si="50"/>
        <v>0</v>
      </c>
      <c r="I263" s="38">
        <f t="shared" si="50"/>
        <v>0</v>
      </c>
      <c r="J263" s="38">
        <f t="shared" si="50"/>
        <v>14897731</v>
      </c>
      <c r="K263" s="38">
        <f t="shared" si="50"/>
        <v>14897731</v>
      </c>
      <c r="L263" s="38">
        <f t="shared" si="50"/>
        <v>0</v>
      </c>
      <c r="M263" s="57">
        <f t="shared" si="44"/>
        <v>14897731</v>
      </c>
      <c r="N263" s="55"/>
      <c r="O263" s="61"/>
    </row>
    <row r="264" spans="1:15" ht="51">
      <c r="A264" s="40" t="s">
        <v>188</v>
      </c>
      <c r="B264" s="73" t="s">
        <v>19</v>
      </c>
      <c r="C264" s="38"/>
      <c r="D264" s="38"/>
      <c r="E264" s="38"/>
      <c r="F264" s="38">
        <f t="shared" si="47"/>
        <v>14897731</v>
      </c>
      <c r="G264" s="38"/>
      <c r="H264" s="38"/>
      <c r="I264" s="38"/>
      <c r="J264" s="38">
        <f>K264</f>
        <v>14897731</v>
      </c>
      <c r="K264" s="81">
        <f>6000000+506620+5134878+2688100+94500+1782787-1980+80000-1140000-247174</f>
        <v>14897731</v>
      </c>
      <c r="L264" s="81">
        <f>2000000+1000000-3000000</f>
        <v>0</v>
      </c>
      <c r="M264" s="57">
        <f t="shared" si="44"/>
        <v>14897731</v>
      </c>
      <c r="N264" s="55"/>
      <c r="O264" s="61"/>
    </row>
    <row r="265" spans="1:15" ht="12.75">
      <c r="A265" s="40" t="s">
        <v>206</v>
      </c>
      <c r="B265" s="62" t="s">
        <v>210</v>
      </c>
      <c r="C265" s="38"/>
      <c r="D265" s="38"/>
      <c r="E265" s="38"/>
      <c r="F265" s="38">
        <f>F266</f>
        <v>4357736</v>
      </c>
      <c r="G265" s="38">
        <f aca="true" t="shared" si="51" ref="G265:L265">G266</f>
        <v>0</v>
      </c>
      <c r="H265" s="38">
        <f t="shared" si="51"/>
        <v>0</v>
      </c>
      <c r="I265" s="38">
        <f t="shared" si="51"/>
        <v>0</v>
      </c>
      <c r="J265" s="38">
        <f t="shared" si="51"/>
        <v>4357736</v>
      </c>
      <c r="K265" s="38">
        <f t="shared" si="51"/>
        <v>0</v>
      </c>
      <c r="L265" s="38">
        <f t="shared" si="51"/>
        <v>0</v>
      </c>
      <c r="M265" s="57">
        <f t="shared" si="44"/>
        <v>4357736</v>
      </c>
      <c r="N265" s="55"/>
      <c r="O265" s="61"/>
    </row>
    <row r="266" spans="1:15" ht="25.5">
      <c r="A266" s="40" t="s">
        <v>170</v>
      </c>
      <c r="B266" s="62" t="s">
        <v>185</v>
      </c>
      <c r="C266" s="38"/>
      <c r="D266" s="38"/>
      <c r="E266" s="38"/>
      <c r="F266" s="38">
        <f t="shared" si="47"/>
        <v>4357736</v>
      </c>
      <c r="G266" s="38"/>
      <c r="H266" s="38"/>
      <c r="I266" s="38"/>
      <c r="J266" s="38">
        <f>1512000+1645736-500000+1700000</f>
        <v>4357736</v>
      </c>
      <c r="K266" s="38"/>
      <c r="L266" s="38"/>
      <c r="M266" s="57">
        <f t="shared" si="44"/>
        <v>4357736</v>
      </c>
      <c r="N266" s="55"/>
      <c r="O266" s="61"/>
    </row>
    <row r="267" spans="1:15" ht="25.5">
      <c r="A267" s="40" t="s">
        <v>208</v>
      </c>
      <c r="B267" s="44" t="s">
        <v>209</v>
      </c>
      <c r="C267" s="38">
        <f>C268</f>
        <v>22312899</v>
      </c>
      <c r="D267" s="38">
        <f>D268</f>
        <v>0</v>
      </c>
      <c r="E267" s="38">
        <f>E268</f>
        <v>0</v>
      </c>
      <c r="F267" s="38">
        <f t="shared" si="47"/>
        <v>2842149</v>
      </c>
      <c r="G267" s="38">
        <f aca="true" t="shared" si="52" ref="G267:L267">G268</f>
        <v>0</v>
      </c>
      <c r="H267" s="38">
        <f t="shared" si="52"/>
        <v>0</v>
      </c>
      <c r="I267" s="38">
        <f t="shared" si="52"/>
        <v>0</v>
      </c>
      <c r="J267" s="38">
        <f t="shared" si="52"/>
        <v>2842149</v>
      </c>
      <c r="K267" s="38">
        <f t="shared" si="52"/>
        <v>2842149</v>
      </c>
      <c r="L267" s="38">
        <f t="shared" si="52"/>
        <v>1700000</v>
      </c>
      <c r="M267" s="57">
        <f t="shared" si="44"/>
        <v>25155048</v>
      </c>
      <c r="N267" s="55"/>
      <c r="O267" s="61"/>
    </row>
    <row r="268" spans="1:15" ht="13.5" customHeight="1">
      <c r="A268" s="40" t="s">
        <v>115</v>
      </c>
      <c r="B268" s="36" t="s">
        <v>149</v>
      </c>
      <c r="C268" s="38">
        <f>SUM(C269:C273)</f>
        <v>22312899</v>
      </c>
      <c r="D268" s="38"/>
      <c r="E268" s="38"/>
      <c r="F268" s="38">
        <f t="shared" si="47"/>
        <v>2842149</v>
      </c>
      <c r="G268" s="38"/>
      <c r="H268" s="38"/>
      <c r="I268" s="38"/>
      <c r="J268" s="38">
        <f>K268</f>
        <v>2842149</v>
      </c>
      <c r="K268" s="38">
        <f>SUM(K269:K273)</f>
        <v>2842149</v>
      </c>
      <c r="L268" s="38">
        <f>SUM(L269:L273)</f>
        <v>1700000</v>
      </c>
      <c r="M268" s="57">
        <f t="shared" si="44"/>
        <v>25155048</v>
      </c>
      <c r="N268" s="55"/>
      <c r="O268" s="61"/>
    </row>
    <row r="269" spans="1:15" ht="25.5" hidden="1">
      <c r="A269" s="79"/>
      <c r="B269" s="73" t="s">
        <v>9</v>
      </c>
      <c r="C269" s="38">
        <f>1260317+1449300+3000000+992520+1600000+1700000-560000</f>
        <v>9442137</v>
      </c>
      <c r="D269" s="38"/>
      <c r="E269" s="38"/>
      <c r="F269" s="38">
        <f t="shared" si="47"/>
        <v>0</v>
      </c>
      <c r="G269" s="38"/>
      <c r="H269" s="38"/>
      <c r="I269" s="38"/>
      <c r="J269" s="38">
        <f>K269</f>
        <v>0</v>
      </c>
      <c r="K269" s="38"/>
      <c r="L269" s="38"/>
      <c r="M269" s="57">
        <f t="shared" si="44"/>
        <v>9442137</v>
      </c>
      <c r="N269" s="55"/>
      <c r="O269" s="61"/>
    </row>
    <row r="270" spans="1:15" ht="25.5" hidden="1">
      <c r="A270" s="79"/>
      <c r="B270" s="73" t="s">
        <v>10</v>
      </c>
      <c r="C270" s="38">
        <f>45761+1840000+215081-215081+1700000+151230+222280+24894+919000+7817000-280000</f>
        <v>12440165</v>
      </c>
      <c r="D270" s="38"/>
      <c r="E270" s="38"/>
      <c r="F270" s="38">
        <f t="shared" si="47"/>
        <v>0</v>
      </c>
      <c r="G270" s="38"/>
      <c r="H270" s="38"/>
      <c r="I270" s="38"/>
      <c r="J270" s="38"/>
      <c r="K270" s="38"/>
      <c r="L270" s="38"/>
      <c r="M270" s="57">
        <f t="shared" si="44"/>
        <v>12440165</v>
      </c>
      <c r="N270" s="55"/>
      <c r="O270" s="61"/>
    </row>
    <row r="271" spans="1:15" ht="38.25" hidden="1">
      <c r="A271" s="79"/>
      <c r="B271" s="73" t="s">
        <v>11</v>
      </c>
      <c r="C271" s="38">
        <f>162600+135997+33000</f>
        <v>331597</v>
      </c>
      <c r="D271" s="38"/>
      <c r="E271" s="38"/>
      <c r="F271" s="38">
        <f t="shared" si="47"/>
        <v>0</v>
      </c>
      <c r="G271" s="38"/>
      <c r="H271" s="38"/>
      <c r="I271" s="38"/>
      <c r="J271" s="38"/>
      <c r="K271" s="38"/>
      <c r="L271" s="38"/>
      <c r="M271" s="57">
        <f t="shared" si="44"/>
        <v>331597</v>
      </c>
      <c r="N271" s="55"/>
      <c r="O271" s="61"/>
    </row>
    <row r="272" spans="1:15" ht="25.5" hidden="1">
      <c r="A272" s="79"/>
      <c r="B272" s="73" t="s">
        <v>16</v>
      </c>
      <c r="C272" s="38">
        <f>1454300-854300-600000</f>
        <v>0</v>
      </c>
      <c r="D272" s="38"/>
      <c r="E272" s="38"/>
      <c r="F272" s="38">
        <f t="shared" si="47"/>
        <v>0</v>
      </c>
      <c r="G272" s="38"/>
      <c r="H272" s="38"/>
      <c r="I272" s="38"/>
      <c r="J272" s="38"/>
      <c r="K272" s="38"/>
      <c r="L272" s="38"/>
      <c r="M272" s="57">
        <f aca="true" t="shared" si="53" ref="M272:M291">C272+F272</f>
        <v>0</v>
      </c>
      <c r="N272" s="55"/>
      <c r="O272" s="61"/>
    </row>
    <row r="273" spans="1:15" ht="16.5" customHeight="1" hidden="1">
      <c r="A273" s="40"/>
      <c r="B273" s="73" t="s">
        <v>47</v>
      </c>
      <c r="C273" s="38">
        <v>99000</v>
      </c>
      <c r="D273" s="38"/>
      <c r="E273" s="38"/>
      <c r="F273" s="38">
        <f t="shared" si="47"/>
        <v>2842149</v>
      </c>
      <c r="G273" s="38"/>
      <c r="H273" s="38"/>
      <c r="I273" s="38"/>
      <c r="J273" s="38">
        <f>1700000+13632+36188+500000+492329+100000</f>
        <v>2842149</v>
      </c>
      <c r="K273" s="38">
        <f>J273</f>
        <v>2842149</v>
      </c>
      <c r="L273" s="38">
        <v>1700000</v>
      </c>
      <c r="M273" s="57">
        <f t="shared" si="53"/>
        <v>2941149</v>
      </c>
      <c r="N273" s="55"/>
      <c r="O273" s="61"/>
    </row>
    <row r="274" spans="1:15" ht="38.25">
      <c r="A274" s="106" t="s">
        <v>14</v>
      </c>
      <c r="B274" s="105" t="s">
        <v>344</v>
      </c>
      <c r="C274" s="53">
        <f>C275+C277+C284+C288+C291+C294</f>
        <v>284360</v>
      </c>
      <c r="D274" s="53">
        <f>D275+D277+D284+D288+D291+D294</f>
        <v>191481</v>
      </c>
      <c r="E274" s="53">
        <f>E275+E277+E284+E288+E291+E294</f>
        <v>8318</v>
      </c>
      <c r="F274" s="53">
        <f>G274+J274</f>
        <v>0</v>
      </c>
      <c r="G274" s="53">
        <f>G275+G277+G284+G288+G291+G294</f>
        <v>0</v>
      </c>
      <c r="H274" s="53">
        <f>H275+H277+H284+H288+H291+H294</f>
        <v>0</v>
      </c>
      <c r="I274" s="53">
        <f>I275+I277+I284+I288+I291+I294</f>
        <v>0</v>
      </c>
      <c r="J274" s="53">
        <f>J275+J277+J284+J288+J294</f>
        <v>0</v>
      </c>
      <c r="K274" s="53">
        <f>K275+K277+K284+K288+K294</f>
        <v>0</v>
      </c>
      <c r="L274" s="53">
        <f>L275+L277+L284+L288+L294</f>
        <v>0</v>
      </c>
      <c r="M274" s="54">
        <f t="shared" si="53"/>
        <v>284360</v>
      </c>
      <c r="N274" s="55"/>
      <c r="O274" s="61"/>
    </row>
    <row r="275" spans="1:15" ht="12.75">
      <c r="A275" s="43" t="s">
        <v>199</v>
      </c>
      <c r="B275" s="44" t="s">
        <v>200</v>
      </c>
      <c r="C275" s="37">
        <f>C276</f>
        <v>284360</v>
      </c>
      <c r="D275" s="37">
        <f>D276</f>
        <v>191481</v>
      </c>
      <c r="E275" s="37">
        <f>E276</f>
        <v>8318</v>
      </c>
      <c r="F275" s="38">
        <f aca="true" t="shared" si="54" ref="F275:F307">G275+J275</f>
        <v>0</v>
      </c>
      <c r="G275" s="37"/>
      <c r="H275" s="37"/>
      <c r="I275" s="37"/>
      <c r="J275" s="37"/>
      <c r="K275" s="37"/>
      <c r="L275" s="37"/>
      <c r="M275" s="57">
        <f t="shared" si="53"/>
        <v>284360</v>
      </c>
      <c r="N275" s="55"/>
      <c r="O275" s="61"/>
    </row>
    <row r="276" spans="1:15" ht="12.75">
      <c r="A276" s="40" t="s">
        <v>76</v>
      </c>
      <c r="B276" s="60" t="s">
        <v>77</v>
      </c>
      <c r="C276" s="38">
        <f>497415+19751-235012+8178-5972</f>
        <v>284360</v>
      </c>
      <c r="D276" s="38">
        <f>309803-124322+6000</f>
        <v>191481</v>
      </c>
      <c r="E276" s="38">
        <f>53297-44979</f>
        <v>8318</v>
      </c>
      <c r="F276" s="38">
        <f t="shared" si="54"/>
        <v>0</v>
      </c>
      <c r="G276" s="38"/>
      <c r="H276" s="38"/>
      <c r="I276" s="38"/>
      <c r="J276" s="38"/>
      <c r="K276" s="38"/>
      <c r="L276" s="38"/>
      <c r="M276" s="57">
        <f t="shared" si="53"/>
        <v>284360</v>
      </c>
      <c r="N276" s="55"/>
      <c r="O276" s="61"/>
    </row>
    <row r="277" spans="1:15" ht="13.5" customHeight="1" hidden="1">
      <c r="A277" s="40" t="s">
        <v>211</v>
      </c>
      <c r="B277" s="60" t="s">
        <v>212</v>
      </c>
      <c r="C277" s="38">
        <f>C278+C279+C280+C281</f>
        <v>0</v>
      </c>
      <c r="D277" s="38">
        <f>D278+D279+D280+D281</f>
        <v>0</v>
      </c>
      <c r="E277" s="38">
        <f>E278+E279+E280+E281</f>
        <v>0</v>
      </c>
      <c r="F277" s="38">
        <f t="shared" si="54"/>
        <v>0</v>
      </c>
      <c r="G277" s="38">
        <f aca="true" t="shared" si="55" ref="G277:L277">G278+G279+G280+G281+G283</f>
        <v>0</v>
      </c>
      <c r="H277" s="38">
        <f t="shared" si="55"/>
        <v>0</v>
      </c>
      <c r="I277" s="38">
        <f t="shared" si="55"/>
        <v>0</v>
      </c>
      <c r="J277" s="38">
        <f t="shared" si="55"/>
        <v>0</v>
      </c>
      <c r="K277" s="38">
        <f t="shared" si="55"/>
        <v>0</v>
      </c>
      <c r="L277" s="38">
        <f t="shared" si="55"/>
        <v>0</v>
      </c>
      <c r="M277" s="57">
        <f t="shared" si="53"/>
        <v>0</v>
      </c>
      <c r="N277" s="55"/>
      <c r="O277" s="61"/>
    </row>
    <row r="278" spans="1:15" ht="28.5" customHeight="1" hidden="1">
      <c r="A278" s="40" t="s">
        <v>223</v>
      </c>
      <c r="B278" s="73" t="s">
        <v>292</v>
      </c>
      <c r="C278" s="38"/>
      <c r="D278" s="38"/>
      <c r="E278" s="38"/>
      <c r="F278" s="38">
        <f t="shared" si="54"/>
        <v>0</v>
      </c>
      <c r="G278" s="38"/>
      <c r="H278" s="38"/>
      <c r="I278" s="38"/>
      <c r="J278" s="38"/>
      <c r="K278" s="81"/>
      <c r="L278" s="81"/>
      <c r="M278" s="57">
        <f t="shared" si="53"/>
        <v>0</v>
      </c>
      <c r="N278" s="55"/>
      <c r="O278" s="61"/>
    </row>
    <row r="279" spans="1:15" ht="20.25" customHeight="1" hidden="1">
      <c r="A279" s="40" t="s">
        <v>66</v>
      </c>
      <c r="B279" s="36" t="s">
        <v>67</v>
      </c>
      <c r="C279" s="38"/>
      <c r="D279" s="38"/>
      <c r="E279" s="38"/>
      <c r="F279" s="38">
        <f>G279+J279</f>
        <v>0</v>
      </c>
      <c r="G279" s="38"/>
      <c r="H279" s="38"/>
      <c r="I279" s="38"/>
      <c r="J279" s="38"/>
      <c r="K279" s="38"/>
      <c r="L279" s="38"/>
      <c r="M279" s="57">
        <f t="shared" si="53"/>
        <v>0</v>
      </c>
      <c r="N279" s="55"/>
      <c r="O279" s="61"/>
    </row>
    <row r="280" spans="1:15" ht="25.5" customHeight="1" hidden="1">
      <c r="A280" s="40" t="s">
        <v>254</v>
      </c>
      <c r="B280" s="36" t="s">
        <v>255</v>
      </c>
      <c r="C280" s="38"/>
      <c r="D280" s="38"/>
      <c r="E280" s="38"/>
      <c r="F280" s="38">
        <f>G280+J280</f>
        <v>0</v>
      </c>
      <c r="G280" s="38"/>
      <c r="H280" s="38"/>
      <c r="I280" s="38"/>
      <c r="J280" s="38"/>
      <c r="K280" s="38"/>
      <c r="L280" s="38"/>
      <c r="M280" s="57">
        <f t="shared" si="53"/>
        <v>0</v>
      </c>
      <c r="N280" s="55"/>
      <c r="O280" s="61"/>
    </row>
    <row r="281" spans="1:15" ht="165.75" hidden="1">
      <c r="A281" s="40" t="s">
        <v>227</v>
      </c>
      <c r="B281" s="36" t="s">
        <v>247</v>
      </c>
      <c r="C281" s="38"/>
      <c r="D281" s="38"/>
      <c r="E281" s="38"/>
      <c r="F281" s="38">
        <f t="shared" si="54"/>
        <v>0</v>
      </c>
      <c r="G281" s="38"/>
      <c r="H281" s="38"/>
      <c r="I281" s="38"/>
      <c r="J281" s="38"/>
      <c r="K281" s="38"/>
      <c r="L281" s="38"/>
      <c r="M281" s="57">
        <f t="shared" si="53"/>
        <v>0</v>
      </c>
      <c r="N281" s="55"/>
      <c r="O281" s="61"/>
    </row>
    <row r="282" spans="1:15" ht="25.5" hidden="1">
      <c r="A282" s="40"/>
      <c r="B282" s="36" t="s">
        <v>219</v>
      </c>
      <c r="C282" s="38"/>
      <c r="D282" s="38"/>
      <c r="E282" s="38"/>
      <c r="F282" s="38">
        <f t="shared" si="54"/>
        <v>0</v>
      </c>
      <c r="G282" s="38">
        <f>G281</f>
        <v>0</v>
      </c>
      <c r="H282" s="38">
        <f>H281</f>
        <v>0</v>
      </c>
      <c r="I282" s="38">
        <f>I281</f>
        <v>0</v>
      </c>
      <c r="J282" s="38"/>
      <c r="K282" s="38">
        <f>K281</f>
        <v>0</v>
      </c>
      <c r="L282" s="38"/>
      <c r="M282" s="57">
        <f t="shared" si="53"/>
        <v>0</v>
      </c>
      <c r="N282" s="55"/>
      <c r="O282" s="61"/>
    </row>
    <row r="283" spans="1:15" ht="27" customHeight="1" hidden="1">
      <c r="A283" s="79" t="s">
        <v>289</v>
      </c>
      <c r="B283" s="73" t="s">
        <v>290</v>
      </c>
      <c r="C283" s="38"/>
      <c r="D283" s="38"/>
      <c r="E283" s="38"/>
      <c r="F283" s="38">
        <f t="shared" si="54"/>
        <v>0</v>
      </c>
      <c r="G283" s="38"/>
      <c r="H283" s="38"/>
      <c r="I283" s="38"/>
      <c r="J283" s="38"/>
      <c r="K283" s="38">
        <f>J283</f>
        <v>0</v>
      </c>
      <c r="L283" s="38">
        <f>K283</f>
        <v>0</v>
      </c>
      <c r="M283" s="57">
        <f t="shared" si="53"/>
        <v>0</v>
      </c>
      <c r="N283" s="55"/>
      <c r="O283" s="61"/>
    </row>
    <row r="284" spans="1:15" ht="13.5" customHeight="1" hidden="1">
      <c r="A284" s="40" t="s">
        <v>203</v>
      </c>
      <c r="B284" s="36" t="s">
        <v>110</v>
      </c>
      <c r="C284" s="38"/>
      <c r="D284" s="38"/>
      <c r="E284" s="38"/>
      <c r="F284" s="38">
        <f>G284+J284</f>
        <v>0</v>
      </c>
      <c r="G284" s="38">
        <f>G287+G285</f>
        <v>0</v>
      </c>
      <c r="H284" s="38">
        <f>H287+H285</f>
        <v>0</v>
      </c>
      <c r="I284" s="38">
        <f>I287+I285</f>
        <v>0</v>
      </c>
      <c r="J284" s="38">
        <f>J287+J285+J286</f>
        <v>0</v>
      </c>
      <c r="K284" s="38">
        <f>K287+K285+K286</f>
        <v>0</v>
      </c>
      <c r="L284" s="38">
        <f>L285</f>
        <v>0</v>
      </c>
      <c r="M284" s="57">
        <f t="shared" si="53"/>
        <v>0</v>
      </c>
      <c r="N284" s="55"/>
      <c r="O284" s="61"/>
    </row>
    <row r="285" spans="1:15" ht="15" customHeight="1" hidden="1">
      <c r="A285" s="40" t="s">
        <v>171</v>
      </c>
      <c r="B285" s="36" t="s">
        <v>172</v>
      </c>
      <c r="C285" s="38"/>
      <c r="D285" s="38"/>
      <c r="E285" s="38"/>
      <c r="F285" s="38">
        <f t="shared" si="54"/>
        <v>0</v>
      </c>
      <c r="G285" s="38"/>
      <c r="H285" s="38"/>
      <c r="I285" s="38"/>
      <c r="J285" s="38">
        <f>K285</f>
        <v>0</v>
      </c>
      <c r="K285" s="81"/>
      <c r="L285" s="38">
        <f>412555+98000-98000-183165-229390</f>
        <v>0</v>
      </c>
      <c r="M285" s="57">
        <f t="shared" si="53"/>
        <v>0</v>
      </c>
      <c r="N285" s="55"/>
      <c r="O285" s="61"/>
    </row>
    <row r="286" spans="1:15" ht="26.25" customHeight="1" hidden="1">
      <c r="A286" s="79" t="s">
        <v>309</v>
      </c>
      <c r="B286" s="36" t="s">
        <v>310</v>
      </c>
      <c r="C286" s="38"/>
      <c r="D286" s="38"/>
      <c r="E286" s="38"/>
      <c r="F286" s="38">
        <f t="shared" si="54"/>
        <v>0</v>
      </c>
      <c r="G286" s="38"/>
      <c r="H286" s="38"/>
      <c r="I286" s="38"/>
      <c r="J286" s="38">
        <f>K286</f>
        <v>0</v>
      </c>
      <c r="K286" s="81"/>
      <c r="L286" s="38"/>
      <c r="M286" s="57">
        <f t="shared" si="53"/>
        <v>0</v>
      </c>
      <c r="N286" s="55"/>
      <c r="O286" s="61"/>
    </row>
    <row r="287" spans="1:15" ht="20.25" customHeight="1" hidden="1">
      <c r="A287" s="40" t="s">
        <v>191</v>
      </c>
      <c r="B287" s="60" t="s">
        <v>192</v>
      </c>
      <c r="C287" s="38"/>
      <c r="D287" s="38"/>
      <c r="E287" s="38"/>
      <c r="F287" s="38">
        <f t="shared" si="54"/>
        <v>0</v>
      </c>
      <c r="G287" s="38"/>
      <c r="H287" s="38"/>
      <c r="I287" s="38"/>
      <c r="J287" s="38"/>
      <c r="K287" s="38"/>
      <c r="L287" s="38"/>
      <c r="M287" s="57">
        <f t="shared" si="53"/>
        <v>0</v>
      </c>
      <c r="N287" s="55"/>
      <c r="O287" s="61"/>
    </row>
    <row r="288" spans="1:15" ht="25.5" customHeight="1" hidden="1">
      <c r="A288" s="40" t="s">
        <v>214</v>
      </c>
      <c r="B288" s="60" t="s">
        <v>215</v>
      </c>
      <c r="C288" s="38">
        <f>C289+C291</f>
        <v>0</v>
      </c>
      <c r="D288" s="38">
        <f>D289</f>
        <v>0</v>
      </c>
      <c r="E288" s="38">
        <f>E289</f>
        <v>0</v>
      </c>
      <c r="F288" s="38">
        <f>G288+J288</f>
        <v>0</v>
      </c>
      <c r="G288" s="38">
        <f aca="true" t="shared" si="56" ref="G288:L288">G289+G291</f>
        <v>0</v>
      </c>
      <c r="H288" s="38">
        <f t="shared" si="56"/>
        <v>0</v>
      </c>
      <c r="I288" s="38">
        <f t="shared" si="56"/>
        <v>0</v>
      </c>
      <c r="J288" s="38">
        <f t="shared" si="56"/>
        <v>0</v>
      </c>
      <c r="K288" s="38">
        <f>K289+K291</f>
        <v>0</v>
      </c>
      <c r="L288" s="38">
        <f t="shared" si="56"/>
        <v>0</v>
      </c>
      <c r="M288" s="57">
        <f t="shared" si="53"/>
        <v>0</v>
      </c>
      <c r="N288" s="55"/>
      <c r="O288" s="61"/>
    </row>
    <row r="289" spans="1:15" ht="25.5" hidden="1">
      <c r="A289" s="40" t="s">
        <v>64</v>
      </c>
      <c r="B289" s="73" t="s">
        <v>65</v>
      </c>
      <c r="C289" s="38"/>
      <c r="D289" s="38"/>
      <c r="E289" s="38"/>
      <c r="F289" s="38">
        <f>G289+J289</f>
        <v>0</v>
      </c>
      <c r="G289" s="38"/>
      <c r="H289" s="38"/>
      <c r="I289" s="38"/>
      <c r="J289" s="38">
        <f>K289</f>
        <v>0</v>
      </c>
      <c r="K289" s="38"/>
      <c r="L289" s="38"/>
      <c r="M289" s="57">
        <f t="shared" si="53"/>
        <v>0</v>
      </c>
      <c r="N289" s="55"/>
      <c r="O289" s="61"/>
    </row>
    <row r="290" spans="1:15" ht="25.5" hidden="1">
      <c r="A290" s="40"/>
      <c r="B290" s="62" t="s">
        <v>219</v>
      </c>
      <c r="C290" s="38"/>
      <c r="D290" s="38"/>
      <c r="E290" s="38"/>
      <c r="F290" s="38">
        <f>G290+J290</f>
        <v>0</v>
      </c>
      <c r="G290" s="38"/>
      <c r="H290" s="38"/>
      <c r="I290" s="38"/>
      <c r="J290" s="38">
        <f>J289</f>
        <v>0</v>
      </c>
      <c r="K290" s="38"/>
      <c r="L290" s="38"/>
      <c r="M290" s="57">
        <f t="shared" si="53"/>
        <v>0</v>
      </c>
      <c r="N290" s="55"/>
      <c r="O290" s="61"/>
    </row>
    <row r="291" spans="1:15" ht="66" customHeight="1" hidden="1">
      <c r="A291" s="79" t="s">
        <v>188</v>
      </c>
      <c r="B291" s="78" t="s">
        <v>298</v>
      </c>
      <c r="C291" s="38">
        <f aca="true" t="shared" si="57" ref="C291:I291">C292</f>
        <v>0</v>
      </c>
      <c r="D291" s="38">
        <f t="shared" si="57"/>
        <v>0</v>
      </c>
      <c r="E291" s="38">
        <f t="shared" si="57"/>
        <v>0</v>
      </c>
      <c r="F291" s="38">
        <f>G291+J291</f>
        <v>0</v>
      </c>
      <c r="G291" s="38">
        <f t="shared" si="57"/>
        <v>0</v>
      </c>
      <c r="H291" s="38">
        <f t="shared" si="57"/>
        <v>0</v>
      </c>
      <c r="I291" s="38">
        <f t="shared" si="57"/>
        <v>0</v>
      </c>
      <c r="J291" s="38">
        <f>K291</f>
        <v>0</v>
      </c>
      <c r="K291" s="38"/>
      <c r="L291" s="38">
        <f>L292</f>
        <v>0</v>
      </c>
      <c r="M291" s="57">
        <f t="shared" si="53"/>
        <v>0</v>
      </c>
      <c r="N291" s="55"/>
      <c r="O291" s="61"/>
    </row>
    <row r="292" spans="1:15" ht="36.75" customHeight="1" hidden="1">
      <c r="A292" s="79"/>
      <c r="B292" s="62"/>
      <c r="C292" s="38"/>
      <c r="D292" s="38"/>
      <c r="E292" s="38"/>
      <c r="F292" s="38">
        <f>G292+J292</f>
        <v>0</v>
      </c>
      <c r="G292" s="38"/>
      <c r="H292" s="38"/>
      <c r="I292" s="38"/>
      <c r="J292" s="38"/>
      <c r="K292" s="38"/>
      <c r="L292" s="38"/>
      <c r="M292" s="57">
        <f aca="true" t="shared" si="58" ref="M292:M307">C292+F292</f>
        <v>0</v>
      </c>
      <c r="N292" s="55"/>
      <c r="O292" s="61"/>
    </row>
    <row r="293" spans="1:15" ht="30.75" customHeight="1" hidden="1">
      <c r="A293" s="40" t="s">
        <v>114</v>
      </c>
      <c r="B293" s="62" t="s">
        <v>166</v>
      </c>
      <c r="C293" s="38"/>
      <c r="D293" s="38"/>
      <c r="E293" s="38"/>
      <c r="F293" s="38">
        <f t="shared" si="54"/>
        <v>0</v>
      </c>
      <c r="G293" s="38"/>
      <c r="H293" s="38"/>
      <c r="I293" s="38"/>
      <c r="J293" s="38"/>
      <c r="K293" s="38"/>
      <c r="L293" s="38"/>
      <c r="M293" s="57">
        <f t="shared" si="58"/>
        <v>0</v>
      </c>
      <c r="N293" s="55"/>
      <c r="O293" s="61"/>
    </row>
    <row r="294" spans="1:15" ht="26.25" customHeight="1" hidden="1">
      <c r="A294" s="40" t="s">
        <v>208</v>
      </c>
      <c r="B294" s="62" t="s">
        <v>209</v>
      </c>
      <c r="C294" s="38">
        <f aca="true" t="shared" si="59" ref="C294:L294">C295</f>
        <v>0</v>
      </c>
      <c r="D294" s="38">
        <f t="shared" si="59"/>
        <v>0</v>
      </c>
      <c r="E294" s="38">
        <f t="shared" si="59"/>
        <v>0</v>
      </c>
      <c r="F294" s="38">
        <f t="shared" si="59"/>
        <v>0</v>
      </c>
      <c r="G294" s="38">
        <f t="shared" si="59"/>
        <v>0</v>
      </c>
      <c r="H294" s="38">
        <f t="shared" si="59"/>
        <v>0</v>
      </c>
      <c r="I294" s="38">
        <f t="shared" si="59"/>
        <v>0</v>
      </c>
      <c r="J294" s="38">
        <f t="shared" si="59"/>
        <v>0</v>
      </c>
      <c r="K294" s="38">
        <f t="shared" si="59"/>
        <v>0</v>
      </c>
      <c r="L294" s="38">
        <f t="shared" si="59"/>
        <v>0</v>
      </c>
      <c r="M294" s="57">
        <f t="shared" si="58"/>
        <v>0</v>
      </c>
      <c r="N294" s="55"/>
      <c r="O294" s="61"/>
    </row>
    <row r="295" spans="1:15" ht="15.75" customHeight="1" hidden="1">
      <c r="A295" s="40" t="s">
        <v>115</v>
      </c>
      <c r="B295" s="36" t="s">
        <v>149</v>
      </c>
      <c r="C295" s="81">
        <f aca="true" t="shared" si="60" ref="C295:L295">SUM(C296:C307)</f>
        <v>0</v>
      </c>
      <c r="D295" s="38">
        <f t="shared" si="60"/>
        <v>0</v>
      </c>
      <c r="E295" s="38">
        <f t="shared" si="60"/>
        <v>0</v>
      </c>
      <c r="F295" s="38">
        <f t="shared" si="60"/>
        <v>0</v>
      </c>
      <c r="G295" s="38">
        <f t="shared" si="60"/>
        <v>0</v>
      </c>
      <c r="H295" s="38">
        <f t="shared" si="60"/>
        <v>0</v>
      </c>
      <c r="I295" s="38">
        <f t="shared" si="60"/>
        <v>0</v>
      </c>
      <c r="J295" s="38">
        <f t="shared" si="60"/>
        <v>0</v>
      </c>
      <c r="K295" s="38">
        <f t="shared" si="60"/>
        <v>0</v>
      </c>
      <c r="L295" s="38">
        <f t="shared" si="60"/>
        <v>0</v>
      </c>
      <c r="M295" s="57">
        <f t="shared" si="58"/>
        <v>0</v>
      </c>
      <c r="N295" s="55"/>
      <c r="O295" s="61"/>
    </row>
    <row r="296" spans="1:15" s="56" customFormat="1" ht="54" customHeight="1" hidden="1">
      <c r="A296" s="40"/>
      <c r="B296" s="73" t="s">
        <v>388</v>
      </c>
      <c r="C296" s="81"/>
      <c r="D296" s="38"/>
      <c r="E296" s="38"/>
      <c r="F296" s="38">
        <f t="shared" si="54"/>
        <v>0</v>
      </c>
      <c r="G296" s="38"/>
      <c r="H296" s="38"/>
      <c r="I296" s="38"/>
      <c r="J296" s="38"/>
      <c r="K296" s="38"/>
      <c r="L296" s="38"/>
      <c r="M296" s="57">
        <f t="shared" si="58"/>
        <v>0</v>
      </c>
      <c r="N296" s="55"/>
      <c r="O296" s="55"/>
    </row>
    <row r="297" spans="1:15" s="59" customFormat="1" ht="89.25" hidden="1">
      <c r="A297" s="40"/>
      <c r="B297" s="73" t="s">
        <v>399</v>
      </c>
      <c r="C297" s="141"/>
      <c r="D297" s="38"/>
      <c r="E297" s="38"/>
      <c r="F297" s="38">
        <f t="shared" si="54"/>
        <v>0</v>
      </c>
      <c r="G297" s="38"/>
      <c r="H297" s="38"/>
      <c r="I297" s="38"/>
      <c r="J297" s="38"/>
      <c r="K297" s="38">
        <f>J297</f>
        <v>0</v>
      </c>
      <c r="L297" s="38">
        <f>K297</f>
        <v>0</v>
      </c>
      <c r="M297" s="57">
        <f t="shared" si="58"/>
        <v>0</v>
      </c>
      <c r="N297" s="55"/>
      <c r="O297" s="58"/>
    </row>
    <row r="298" spans="1:15" ht="76.5" hidden="1">
      <c r="A298" s="40"/>
      <c r="B298" s="73" t="s">
        <v>385</v>
      </c>
      <c r="C298" s="81"/>
      <c r="D298" s="38"/>
      <c r="E298" s="38"/>
      <c r="F298" s="38">
        <f t="shared" si="54"/>
        <v>0</v>
      </c>
      <c r="G298" s="38"/>
      <c r="H298" s="38"/>
      <c r="I298" s="38"/>
      <c r="J298" s="38"/>
      <c r="K298" s="38"/>
      <c r="L298" s="38"/>
      <c r="M298" s="57">
        <f t="shared" si="58"/>
        <v>0</v>
      </c>
      <c r="N298" s="55"/>
      <c r="O298" s="61"/>
    </row>
    <row r="299" spans="1:15" ht="63.75" hidden="1">
      <c r="A299" s="40"/>
      <c r="B299" s="73" t="s">
        <v>350</v>
      </c>
      <c r="C299" s="81"/>
      <c r="D299" s="38"/>
      <c r="E299" s="38"/>
      <c r="F299" s="38">
        <f t="shared" si="54"/>
        <v>0</v>
      </c>
      <c r="G299" s="38"/>
      <c r="H299" s="38"/>
      <c r="I299" s="38"/>
      <c r="J299" s="38"/>
      <c r="K299" s="38"/>
      <c r="L299" s="38"/>
      <c r="M299" s="57">
        <f t="shared" si="58"/>
        <v>0</v>
      </c>
      <c r="N299" s="55"/>
      <c r="O299" s="61"/>
    </row>
    <row r="300" spans="1:15" ht="51" hidden="1">
      <c r="A300" s="40"/>
      <c r="B300" s="135" t="s">
        <v>398</v>
      </c>
      <c r="C300" s="81"/>
      <c r="D300" s="38"/>
      <c r="E300" s="38"/>
      <c r="F300" s="38">
        <f t="shared" si="54"/>
        <v>0</v>
      </c>
      <c r="G300" s="38"/>
      <c r="H300" s="38"/>
      <c r="I300" s="38"/>
      <c r="J300" s="38"/>
      <c r="K300" s="38"/>
      <c r="L300" s="38"/>
      <c r="M300" s="57">
        <f t="shared" si="58"/>
        <v>0</v>
      </c>
      <c r="N300" s="55"/>
      <c r="O300" s="61"/>
    </row>
    <row r="301" spans="1:15" ht="51" hidden="1">
      <c r="A301" s="40"/>
      <c r="B301" s="73" t="s">
        <v>340</v>
      </c>
      <c r="C301" s="81"/>
      <c r="D301" s="38"/>
      <c r="E301" s="38"/>
      <c r="F301" s="38">
        <f t="shared" si="54"/>
        <v>0</v>
      </c>
      <c r="G301" s="38"/>
      <c r="H301" s="38"/>
      <c r="I301" s="38"/>
      <c r="J301" s="38"/>
      <c r="K301" s="38"/>
      <c r="L301" s="38"/>
      <c r="M301" s="57">
        <f t="shared" si="58"/>
        <v>0</v>
      </c>
      <c r="N301" s="55"/>
      <c r="O301" s="61"/>
    </row>
    <row r="302" spans="1:15" ht="51" hidden="1">
      <c r="A302" s="40"/>
      <c r="B302" s="135" t="s">
        <v>386</v>
      </c>
      <c r="C302" s="81"/>
      <c r="D302" s="38"/>
      <c r="E302" s="38"/>
      <c r="F302" s="38"/>
      <c r="G302" s="38"/>
      <c r="H302" s="38"/>
      <c r="I302" s="38"/>
      <c r="J302" s="38"/>
      <c r="K302" s="38"/>
      <c r="L302" s="38"/>
      <c r="M302" s="57">
        <f t="shared" si="58"/>
        <v>0</v>
      </c>
      <c r="N302" s="55"/>
      <c r="O302" s="61"/>
    </row>
    <row r="303" spans="1:15" ht="38.25" hidden="1">
      <c r="A303" s="40"/>
      <c r="B303" s="135" t="s">
        <v>392</v>
      </c>
      <c r="C303" s="141"/>
      <c r="D303" s="38"/>
      <c r="E303" s="38"/>
      <c r="F303" s="38">
        <f t="shared" si="54"/>
        <v>0</v>
      </c>
      <c r="G303" s="38"/>
      <c r="H303" s="38"/>
      <c r="I303" s="38"/>
      <c r="J303" s="38"/>
      <c r="K303" s="38">
        <f>J303</f>
        <v>0</v>
      </c>
      <c r="L303" s="102">
        <f>K303</f>
        <v>0</v>
      </c>
      <c r="M303" s="57">
        <f t="shared" si="58"/>
        <v>0</v>
      </c>
      <c r="N303" s="55"/>
      <c r="O303" s="61"/>
    </row>
    <row r="304" spans="1:15" ht="51" hidden="1">
      <c r="A304" s="40"/>
      <c r="B304" s="73" t="s">
        <v>397</v>
      </c>
      <c r="C304" s="81"/>
      <c r="D304" s="38"/>
      <c r="E304" s="38"/>
      <c r="F304" s="38">
        <f t="shared" si="54"/>
        <v>0</v>
      </c>
      <c r="G304" s="38"/>
      <c r="H304" s="38"/>
      <c r="I304" s="38"/>
      <c r="J304" s="38"/>
      <c r="K304" s="38"/>
      <c r="L304" s="38"/>
      <c r="M304" s="57">
        <f t="shared" si="58"/>
        <v>0</v>
      </c>
      <c r="N304" s="55"/>
      <c r="O304" s="61"/>
    </row>
    <row r="305" spans="1:15" ht="38.25" hidden="1">
      <c r="A305" s="40"/>
      <c r="B305" s="73" t="s">
        <v>0</v>
      </c>
      <c r="C305" s="81"/>
      <c r="D305" s="38"/>
      <c r="E305" s="38"/>
      <c r="F305" s="38"/>
      <c r="G305" s="38"/>
      <c r="H305" s="38"/>
      <c r="I305" s="38"/>
      <c r="J305" s="38"/>
      <c r="K305" s="38"/>
      <c r="L305" s="38"/>
      <c r="M305" s="57">
        <f t="shared" si="58"/>
        <v>0</v>
      </c>
      <c r="N305" s="55"/>
      <c r="O305" s="61"/>
    </row>
    <row r="306" spans="1:15" ht="38.25" hidden="1">
      <c r="A306" s="40"/>
      <c r="B306" s="73" t="s">
        <v>1</v>
      </c>
      <c r="C306" s="81"/>
      <c r="D306" s="38"/>
      <c r="E306" s="38"/>
      <c r="F306" s="38"/>
      <c r="G306" s="38"/>
      <c r="H306" s="38"/>
      <c r="I306" s="38"/>
      <c r="J306" s="38"/>
      <c r="K306" s="38"/>
      <c r="L306" s="38"/>
      <c r="M306" s="57">
        <f t="shared" si="58"/>
        <v>0</v>
      </c>
      <c r="N306" s="55"/>
      <c r="O306" s="61"/>
    </row>
    <row r="307" spans="1:15" ht="51" hidden="1">
      <c r="A307" s="40"/>
      <c r="B307" s="73" t="s">
        <v>387</v>
      </c>
      <c r="C307" s="81"/>
      <c r="D307" s="38"/>
      <c r="E307" s="38"/>
      <c r="F307" s="38">
        <f t="shared" si="54"/>
        <v>0</v>
      </c>
      <c r="G307" s="38"/>
      <c r="H307" s="38"/>
      <c r="I307" s="38"/>
      <c r="J307" s="38"/>
      <c r="K307" s="38"/>
      <c r="L307" s="38"/>
      <c r="M307" s="57">
        <f t="shared" si="58"/>
        <v>0</v>
      </c>
      <c r="N307" s="55"/>
      <c r="O307" s="61"/>
    </row>
    <row r="308" spans="1:15" ht="38.25">
      <c r="A308" s="106" t="s">
        <v>369</v>
      </c>
      <c r="B308" s="107" t="s">
        <v>317</v>
      </c>
      <c r="C308" s="53">
        <f>C309+C311+C314+C317+C321+C324+C326+C329</f>
        <v>281779</v>
      </c>
      <c r="D308" s="53">
        <f>D309+D311+D314+D317+D321+D324+D326+D329</f>
        <v>176921</v>
      </c>
      <c r="E308" s="53">
        <f>E309+E311+E314+E317+E321+E324+E326+E329</f>
        <v>21373</v>
      </c>
      <c r="F308" s="53">
        <f>G308+J308</f>
        <v>0</v>
      </c>
      <c r="G308" s="53">
        <f aca="true" t="shared" si="61" ref="G308:L308">G309+G311+G314+G317+G321+G324+G326+G329</f>
        <v>0</v>
      </c>
      <c r="H308" s="53">
        <f t="shared" si="61"/>
        <v>0</v>
      </c>
      <c r="I308" s="53">
        <f t="shared" si="61"/>
        <v>0</v>
      </c>
      <c r="J308" s="53">
        <f>J309+J311+J314+J317+J321+J324+J326+J329</f>
        <v>0</v>
      </c>
      <c r="K308" s="53">
        <f t="shared" si="61"/>
        <v>0</v>
      </c>
      <c r="L308" s="53">
        <f t="shared" si="61"/>
        <v>0</v>
      </c>
      <c r="M308" s="54">
        <f aca="true" t="shared" si="62" ref="M308:M321">C308+F308</f>
        <v>281779</v>
      </c>
      <c r="N308" s="55"/>
      <c r="O308" s="61"/>
    </row>
    <row r="309" spans="1:15" ht="12.75">
      <c r="A309" s="64" t="s">
        <v>199</v>
      </c>
      <c r="B309" s="65" t="s">
        <v>200</v>
      </c>
      <c r="C309" s="57">
        <f>C310</f>
        <v>281779</v>
      </c>
      <c r="D309" s="57">
        <f>D310</f>
        <v>176921</v>
      </c>
      <c r="E309" s="57">
        <f>E310</f>
        <v>21373</v>
      </c>
      <c r="F309" s="38">
        <f>G309+J309</f>
        <v>0</v>
      </c>
      <c r="G309" s="57">
        <f aca="true" t="shared" si="63" ref="G309:L309">G310</f>
        <v>0</v>
      </c>
      <c r="H309" s="57">
        <f t="shared" si="63"/>
        <v>0</v>
      </c>
      <c r="I309" s="57">
        <f t="shared" si="63"/>
        <v>0</v>
      </c>
      <c r="J309" s="57">
        <f t="shared" si="63"/>
        <v>0</v>
      </c>
      <c r="K309" s="57">
        <f t="shared" si="63"/>
        <v>0</v>
      </c>
      <c r="L309" s="57">
        <f t="shared" si="63"/>
        <v>0</v>
      </c>
      <c r="M309" s="57">
        <f t="shared" si="62"/>
        <v>281779</v>
      </c>
      <c r="N309" s="55"/>
      <c r="O309" s="61"/>
    </row>
    <row r="310" spans="1:15" ht="12.75">
      <c r="A310" s="40" t="s">
        <v>76</v>
      </c>
      <c r="B310" s="60" t="s">
        <v>77</v>
      </c>
      <c r="C310" s="57">
        <f>375356+6560-93254-2672-4211</f>
        <v>281779</v>
      </c>
      <c r="D310" s="57">
        <f>207735-30814</f>
        <v>176921</v>
      </c>
      <c r="E310" s="57">
        <f>54537-33164</f>
        <v>21373</v>
      </c>
      <c r="F310" s="38">
        <f>G310+J310</f>
        <v>0</v>
      </c>
      <c r="G310" s="38"/>
      <c r="H310" s="38"/>
      <c r="I310" s="38"/>
      <c r="J310" s="38"/>
      <c r="K310" s="38"/>
      <c r="L310" s="38"/>
      <c r="M310" s="57">
        <f t="shared" si="62"/>
        <v>281779</v>
      </c>
      <c r="N310" s="55"/>
      <c r="O310" s="61"/>
    </row>
    <row r="311" spans="1:15" ht="25.5" hidden="1">
      <c r="A311" s="40" t="s">
        <v>98</v>
      </c>
      <c r="B311" s="60" t="s">
        <v>150</v>
      </c>
      <c r="C311" s="38">
        <f>C312+C313</f>
        <v>0</v>
      </c>
      <c r="D311" s="38">
        <f>D312+D313</f>
        <v>0</v>
      </c>
      <c r="E311" s="38">
        <f>E312+E313</f>
        <v>0</v>
      </c>
      <c r="F311" s="38">
        <f aca="true" t="shared" si="64" ref="F311:F325">G311+J311</f>
        <v>0</v>
      </c>
      <c r="G311" s="38">
        <f>G312+G313</f>
        <v>0</v>
      </c>
      <c r="H311" s="38">
        <f>H312+H313</f>
        <v>0</v>
      </c>
      <c r="I311" s="38">
        <f>I312+I313</f>
        <v>0</v>
      </c>
      <c r="J311" s="38">
        <f>J312+J313</f>
        <v>0</v>
      </c>
      <c r="K311" s="38">
        <f>K312+K313</f>
        <v>0</v>
      </c>
      <c r="L311" s="38"/>
      <c r="M311" s="57">
        <f t="shared" si="62"/>
        <v>0</v>
      </c>
      <c r="N311" s="55"/>
      <c r="O311" s="61"/>
    </row>
    <row r="312" spans="1:15" ht="25.5" hidden="1">
      <c r="A312" s="40" t="s">
        <v>99</v>
      </c>
      <c r="B312" s="36" t="s">
        <v>164</v>
      </c>
      <c r="C312" s="38">
        <f>19000-19000</f>
        <v>0</v>
      </c>
      <c r="D312" s="38"/>
      <c r="E312" s="38"/>
      <c r="F312" s="38">
        <f t="shared" si="64"/>
        <v>0</v>
      </c>
      <c r="G312" s="38"/>
      <c r="H312" s="38"/>
      <c r="I312" s="38"/>
      <c r="J312" s="38"/>
      <c r="K312" s="38"/>
      <c r="L312" s="38"/>
      <c r="M312" s="57">
        <f t="shared" si="62"/>
        <v>0</v>
      </c>
      <c r="N312" s="55"/>
      <c r="O312" s="61"/>
    </row>
    <row r="313" spans="1:15" ht="25.5" hidden="1">
      <c r="A313" s="40" t="s">
        <v>249</v>
      </c>
      <c r="B313" s="36" t="s">
        <v>250</v>
      </c>
      <c r="C313" s="38"/>
      <c r="D313" s="38"/>
      <c r="E313" s="38"/>
      <c r="F313" s="38">
        <f t="shared" si="64"/>
        <v>0</v>
      </c>
      <c r="G313" s="38"/>
      <c r="H313" s="38"/>
      <c r="I313" s="38"/>
      <c r="J313" s="38"/>
      <c r="K313" s="38"/>
      <c r="L313" s="38"/>
      <c r="M313" s="57">
        <f t="shared" si="62"/>
        <v>0</v>
      </c>
      <c r="N313" s="55"/>
      <c r="O313" s="61"/>
    </row>
    <row r="314" spans="1:15" ht="12.75" hidden="1">
      <c r="A314" s="40" t="s">
        <v>211</v>
      </c>
      <c r="B314" s="36" t="s">
        <v>213</v>
      </c>
      <c r="C314" s="38">
        <f>C315+C316</f>
        <v>0</v>
      </c>
      <c r="D314" s="38">
        <f aca="true" t="shared" si="65" ref="D314:L314">D315+D316</f>
        <v>0</v>
      </c>
      <c r="E314" s="37">
        <f t="shared" si="65"/>
        <v>0</v>
      </c>
      <c r="F314" s="38">
        <f t="shared" si="65"/>
        <v>0</v>
      </c>
      <c r="G314" s="38">
        <f t="shared" si="65"/>
        <v>0</v>
      </c>
      <c r="H314" s="38">
        <f t="shared" si="65"/>
        <v>0</v>
      </c>
      <c r="I314" s="38">
        <f t="shared" si="65"/>
        <v>0</v>
      </c>
      <c r="J314" s="38">
        <f t="shared" si="65"/>
        <v>0</v>
      </c>
      <c r="K314" s="38">
        <f t="shared" si="65"/>
        <v>0</v>
      </c>
      <c r="L314" s="38">
        <f t="shared" si="65"/>
        <v>0</v>
      </c>
      <c r="M314" s="57">
        <f t="shared" si="62"/>
        <v>0</v>
      </c>
      <c r="N314" s="55"/>
      <c r="O314" s="61"/>
    </row>
    <row r="315" spans="1:15" ht="12.75" hidden="1">
      <c r="A315" s="40">
        <v>100203</v>
      </c>
      <c r="B315" s="73" t="s">
        <v>291</v>
      </c>
      <c r="C315" s="81">
        <f>12778086-12778086</f>
        <v>0</v>
      </c>
      <c r="D315" s="38"/>
      <c r="E315" s="37"/>
      <c r="F315" s="38">
        <f t="shared" si="64"/>
        <v>0</v>
      </c>
      <c r="G315" s="38"/>
      <c r="H315" s="38"/>
      <c r="I315" s="38"/>
      <c r="J315" s="38"/>
      <c r="K315" s="38">
        <f>J315</f>
        <v>0</v>
      </c>
      <c r="L315" s="38">
        <f>K315</f>
        <v>0</v>
      </c>
      <c r="M315" s="57">
        <f t="shared" si="62"/>
        <v>0</v>
      </c>
      <c r="N315" s="55"/>
      <c r="O315" s="61"/>
    </row>
    <row r="316" spans="1:15" ht="51" hidden="1">
      <c r="A316" s="40" t="s">
        <v>270</v>
      </c>
      <c r="B316" s="36" t="s">
        <v>271</v>
      </c>
      <c r="C316" s="38"/>
      <c r="D316" s="38"/>
      <c r="E316" s="38"/>
      <c r="F316" s="38">
        <f t="shared" si="64"/>
        <v>0</v>
      </c>
      <c r="G316" s="38"/>
      <c r="H316" s="38"/>
      <c r="I316" s="38"/>
      <c r="J316" s="38"/>
      <c r="K316" s="38"/>
      <c r="L316" s="38"/>
      <c r="M316" s="57">
        <f t="shared" si="62"/>
        <v>0</v>
      </c>
      <c r="N316" s="55"/>
      <c r="O316" s="61"/>
    </row>
    <row r="317" spans="1:15" ht="12.75" hidden="1">
      <c r="A317" s="40" t="s">
        <v>203</v>
      </c>
      <c r="B317" s="36" t="s">
        <v>110</v>
      </c>
      <c r="C317" s="38"/>
      <c r="D317" s="38"/>
      <c r="E317" s="38"/>
      <c r="F317" s="38">
        <f t="shared" si="64"/>
        <v>0</v>
      </c>
      <c r="G317" s="38"/>
      <c r="H317" s="38"/>
      <c r="I317" s="38"/>
      <c r="J317" s="38">
        <f>J318</f>
        <v>0</v>
      </c>
      <c r="K317" s="38">
        <f>K318</f>
        <v>0</v>
      </c>
      <c r="L317" s="38">
        <f>L318</f>
        <v>0</v>
      </c>
      <c r="M317" s="57">
        <f t="shared" si="62"/>
        <v>0</v>
      </c>
      <c r="N317" s="55"/>
      <c r="O317" s="61"/>
    </row>
    <row r="318" spans="1:15" ht="15.75" customHeight="1" hidden="1">
      <c r="A318" s="40" t="s">
        <v>171</v>
      </c>
      <c r="B318" s="36" t="s">
        <v>172</v>
      </c>
      <c r="C318" s="38"/>
      <c r="D318" s="38"/>
      <c r="E318" s="38"/>
      <c r="F318" s="38">
        <f t="shared" si="64"/>
        <v>0</v>
      </c>
      <c r="G318" s="38"/>
      <c r="H318" s="38"/>
      <c r="I318" s="38"/>
      <c r="J318" s="38">
        <f>K318</f>
        <v>0</v>
      </c>
      <c r="K318" s="81"/>
      <c r="L318" s="102"/>
      <c r="M318" s="57">
        <f t="shared" si="62"/>
        <v>0</v>
      </c>
      <c r="N318" s="55">
        <v>76500</v>
      </c>
      <c r="O318" s="61"/>
    </row>
    <row r="319" spans="1:15" ht="63.75" hidden="1">
      <c r="A319" s="40" t="s">
        <v>186</v>
      </c>
      <c r="B319" s="60" t="s">
        <v>187</v>
      </c>
      <c r="C319" s="38"/>
      <c r="D319" s="38"/>
      <c r="E319" s="38"/>
      <c r="F319" s="38">
        <f t="shared" si="64"/>
        <v>0</v>
      </c>
      <c r="G319" s="38"/>
      <c r="H319" s="38"/>
      <c r="I319" s="38"/>
      <c r="J319" s="38"/>
      <c r="K319" s="38"/>
      <c r="L319" s="38"/>
      <c r="M319" s="57">
        <f t="shared" si="62"/>
        <v>0</v>
      </c>
      <c r="N319" s="55"/>
      <c r="O319" s="61"/>
    </row>
    <row r="320" spans="1:15" ht="51" hidden="1">
      <c r="A320" s="40"/>
      <c r="B320" s="80" t="s">
        <v>348</v>
      </c>
      <c r="C320" s="38"/>
      <c r="D320" s="38"/>
      <c r="E320" s="38"/>
      <c r="F320" s="38">
        <f t="shared" si="64"/>
        <v>0</v>
      </c>
      <c r="G320" s="38"/>
      <c r="H320" s="38"/>
      <c r="I320" s="38"/>
      <c r="J320" s="38"/>
      <c r="K320" s="38">
        <f>J320</f>
        <v>0</v>
      </c>
      <c r="L320" s="38">
        <f>K320</f>
        <v>0</v>
      </c>
      <c r="M320" s="57">
        <f t="shared" si="62"/>
        <v>0</v>
      </c>
      <c r="N320" s="55"/>
      <c r="O320" s="61"/>
    </row>
    <row r="321" spans="1:15" ht="42" customHeight="1" hidden="1">
      <c r="A321" s="40" t="s">
        <v>204</v>
      </c>
      <c r="B321" s="60" t="s">
        <v>205</v>
      </c>
      <c r="C321" s="38"/>
      <c r="D321" s="38"/>
      <c r="E321" s="38"/>
      <c r="F321" s="38">
        <f>G321+J321</f>
        <v>0</v>
      </c>
      <c r="G321" s="38">
        <f>G322</f>
        <v>0</v>
      </c>
      <c r="H321" s="38">
        <f>H322</f>
        <v>0</v>
      </c>
      <c r="I321" s="38">
        <f>I322</f>
        <v>0</v>
      </c>
      <c r="J321" s="38">
        <f>J322</f>
        <v>0</v>
      </c>
      <c r="K321" s="38">
        <f>K322</f>
        <v>0</v>
      </c>
      <c r="L321" s="38"/>
      <c r="M321" s="57">
        <f t="shared" si="62"/>
        <v>0</v>
      </c>
      <c r="N321" s="55"/>
      <c r="O321" s="61"/>
    </row>
    <row r="322" spans="1:15" ht="51" hidden="1">
      <c r="A322" s="40">
        <v>170703</v>
      </c>
      <c r="B322" s="36" t="s">
        <v>59</v>
      </c>
      <c r="C322" s="38"/>
      <c r="D322" s="38"/>
      <c r="E322" s="38"/>
      <c r="F322" s="38">
        <f t="shared" si="64"/>
        <v>0</v>
      </c>
      <c r="G322" s="38">
        <f>G323</f>
        <v>0</v>
      </c>
      <c r="H322" s="38"/>
      <c r="I322" s="38"/>
      <c r="J322" s="38">
        <f>J323</f>
        <v>0</v>
      </c>
      <c r="K322" s="38"/>
      <c r="L322" s="38"/>
      <c r="M322" s="57">
        <f aca="true" t="shared" si="66" ref="M322:M334">C322+F322</f>
        <v>0</v>
      </c>
      <c r="N322" s="55"/>
      <c r="O322" s="61"/>
    </row>
    <row r="323" spans="1:15" ht="76.5" hidden="1">
      <c r="A323" s="40"/>
      <c r="B323" s="73" t="s">
        <v>351</v>
      </c>
      <c r="C323" s="38"/>
      <c r="D323" s="38"/>
      <c r="E323" s="38"/>
      <c r="F323" s="38">
        <f t="shared" si="64"/>
        <v>0</v>
      </c>
      <c r="G323" s="38"/>
      <c r="H323" s="38"/>
      <c r="I323" s="38"/>
      <c r="J323" s="38"/>
      <c r="K323" s="38"/>
      <c r="L323" s="38"/>
      <c r="M323" s="57">
        <f t="shared" si="66"/>
        <v>0</v>
      </c>
      <c r="N323" s="55"/>
      <c r="O323" s="61"/>
    </row>
    <row r="324" spans="1:15" ht="25.5" hidden="1">
      <c r="A324" s="40" t="s">
        <v>214</v>
      </c>
      <c r="B324" s="60" t="s">
        <v>215</v>
      </c>
      <c r="C324" s="38">
        <f>C325</f>
        <v>0</v>
      </c>
      <c r="D324" s="38">
        <f>D325</f>
        <v>0</v>
      </c>
      <c r="E324" s="38">
        <f>E325</f>
        <v>0</v>
      </c>
      <c r="F324" s="38">
        <f t="shared" si="64"/>
        <v>0</v>
      </c>
      <c r="G324" s="38">
        <f aca="true" t="shared" si="67" ref="G324:L324">G325</f>
        <v>0</v>
      </c>
      <c r="H324" s="38">
        <f t="shared" si="67"/>
        <v>0</v>
      </c>
      <c r="I324" s="38">
        <f t="shared" si="67"/>
        <v>0</v>
      </c>
      <c r="J324" s="38">
        <f t="shared" si="67"/>
        <v>0</v>
      </c>
      <c r="K324" s="38">
        <f t="shared" si="67"/>
        <v>0</v>
      </c>
      <c r="L324" s="38">
        <f t="shared" si="67"/>
        <v>0</v>
      </c>
      <c r="M324" s="57">
        <f t="shared" si="66"/>
        <v>0</v>
      </c>
      <c r="N324" s="55"/>
      <c r="O324" s="61"/>
    </row>
    <row r="325" spans="1:15" ht="51" hidden="1">
      <c r="A325" s="40" t="s">
        <v>188</v>
      </c>
      <c r="B325" s="73" t="s">
        <v>298</v>
      </c>
      <c r="C325" s="38"/>
      <c r="D325" s="38"/>
      <c r="E325" s="38"/>
      <c r="F325" s="38">
        <f t="shared" si="64"/>
        <v>0</v>
      </c>
      <c r="G325" s="38"/>
      <c r="H325" s="38"/>
      <c r="I325" s="38"/>
      <c r="J325" s="38">
        <f>K325</f>
        <v>0</v>
      </c>
      <c r="K325" s="38"/>
      <c r="L325" s="38"/>
      <c r="M325" s="57">
        <f t="shared" si="66"/>
        <v>0</v>
      </c>
      <c r="N325" s="55"/>
      <c r="O325" s="61"/>
    </row>
    <row r="326" spans="1:15" ht="12.75" hidden="1">
      <c r="A326" s="40" t="s">
        <v>206</v>
      </c>
      <c r="B326" s="62" t="s">
        <v>210</v>
      </c>
      <c r="C326" s="38">
        <f>C327+C328</f>
        <v>0</v>
      </c>
      <c r="D326" s="38">
        <f>D327+D328</f>
        <v>0</v>
      </c>
      <c r="E326" s="38">
        <f>E327+E328</f>
        <v>0</v>
      </c>
      <c r="F326" s="38">
        <f>G326+J326</f>
        <v>0</v>
      </c>
      <c r="G326" s="38">
        <f>G327+G328</f>
        <v>0</v>
      </c>
      <c r="H326" s="38">
        <f>H327+H328</f>
        <v>0</v>
      </c>
      <c r="I326" s="38">
        <f>I327+I328</f>
        <v>0</v>
      </c>
      <c r="J326" s="38">
        <f>J327+J328</f>
        <v>0</v>
      </c>
      <c r="K326" s="38">
        <f>K327+K328</f>
        <v>0</v>
      </c>
      <c r="L326" s="38"/>
      <c r="M326" s="57">
        <f t="shared" si="66"/>
        <v>0</v>
      </c>
      <c r="N326" s="55"/>
      <c r="O326" s="61"/>
    </row>
    <row r="327" spans="1:15" ht="25.5" hidden="1">
      <c r="A327" s="40" t="s">
        <v>170</v>
      </c>
      <c r="B327" s="62" t="s">
        <v>185</v>
      </c>
      <c r="C327" s="38"/>
      <c r="D327" s="38"/>
      <c r="E327" s="38"/>
      <c r="F327" s="38">
        <f>G327+J327</f>
        <v>0</v>
      </c>
      <c r="G327" s="38"/>
      <c r="H327" s="38"/>
      <c r="I327" s="38"/>
      <c r="J327" s="38"/>
      <c r="K327" s="38"/>
      <c r="L327" s="38"/>
      <c r="M327" s="57">
        <f t="shared" si="66"/>
        <v>0</v>
      </c>
      <c r="N327" s="55"/>
      <c r="O327" s="61"/>
    </row>
    <row r="328" spans="1:15" s="56" customFormat="1" ht="30" customHeight="1" hidden="1">
      <c r="A328" s="40" t="s">
        <v>114</v>
      </c>
      <c r="B328" s="62" t="s">
        <v>166</v>
      </c>
      <c r="C328" s="38"/>
      <c r="D328" s="38"/>
      <c r="E328" s="38"/>
      <c r="F328" s="38">
        <f>G328+J328</f>
        <v>0</v>
      </c>
      <c r="G328" s="38"/>
      <c r="H328" s="38"/>
      <c r="I328" s="38"/>
      <c r="J328" s="38"/>
      <c r="K328" s="38"/>
      <c r="L328" s="38"/>
      <c r="M328" s="57">
        <f t="shared" si="66"/>
        <v>0</v>
      </c>
      <c r="N328" s="55"/>
      <c r="O328" s="55"/>
    </row>
    <row r="329" spans="1:15" s="59" customFormat="1" ht="25.5" hidden="1">
      <c r="A329" s="40" t="s">
        <v>208</v>
      </c>
      <c r="B329" s="62" t="s">
        <v>209</v>
      </c>
      <c r="C329" s="38">
        <f>C330</f>
        <v>0</v>
      </c>
      <c r="D329" s="38">
        <f>D330</f>
        <v>0</v>
      </c>
      <c r="E329" s="38">
        <f>E330</f>
        <v>0</v>
      </c>
      <c r="F329" s="38"/>
      <c r="G329" s="38"/>
      <c r="H329" s="38"/>
      <c r="I329" s="38"/>
      <c r="J329" s="38"/>
      <c r="K329" s="38"/>
      <c r="L329" s="38"/>
      <c r="M329" s="57">
        <f t="shared" si="66"/>
        <v>0</v>
      </c>
      <c r="N329" s="55"/>
      <c r="O329" s="58"/>
    </row>
    <row r="330" spans="1:15" ht="12.75" hidden="1">
      <c r="A330" s="40" t="s">
        <v>115</v>
      </c>
      <c r="B330" s="62" t="s">
        <v>149</v>
      </c>
      <c r="C330" s="38">
        <f>C331+C334+C332+C333</f>
        <v>0</v>
      </c>
      <c r="D330" s="38">
        <f>D331+D247+D334</f>
        <v>0</v>
      </c>
      <c r="E330" s="38">
        <f>E331+E247+E334</f>
        <v>0</v>
      </c>
      <c r="F330" s="38">
        <f>G330+J330</f>
        <v>0</v>
      </c>
      <c r="G330" s="38">
        <f>G331+G247</f>
        <v>0</v>
      </c>
      <c r="H330" s="38">
        <f>H331+H247</f>
        <v>0</v>
      </c>
      <c r="I330" s="38">
        <f>I331+I247</f>
        <v>0</v>
      </c>
      <c r="J330" s="38">
        <f>J331+J247</f>
        <v>0</v>
      </c>
      <c r="K330" s="38">
        <f>K331+K247</f>
        <v>0</v>
      </c>
      <c r="L330" s="38"/>
      <c r="M330" s="57">
        <f t="shared" si="66"/>
        <v>0</v>
      </c>
      <c r="N330" s="55"/>
      <c r="O330" s="61"/>
    </row>
    <row r="331" spans="1:15" ht="43.5" customHeight="1" hidden="1">
      <c r="A331" s="40"/>
      <c r="B331" s="78" t="s">
        <v>389</v>
      </c>
      <c r="C331" s="38"/>
      <c r="D331" s="38"/>
      <c r="E331" s="38"/>
      <c r="F331" s="38">
        <f>G331+J331</f>
        <v>0</v>
      </c>
      <c r="G331" s="38"/>
      <c r="H331" s="38"/>
      <c r="I331" s="38"/>
      <c r="J331" s="38"/>
      <c r="K331" s="38"/>
      <c r="L331" s="38"/>
      <c r="M331" s="57">
        <f t="shared" si="66"/>
        <v>0</v>
      </c>
      <c r="N331" s="55"/>
      <c r="O331" s="61"/>
    </row>
    <row r="332" spans="1:15" ht="55.5" customHeight="1" hidden="1">
      <c r="A332" s="40"/>
      <c r="B332" s="78" t="s">
        <v>393</v>
      </c>
      <c r="C332" s="38"/>
      <c r="D332" s="38"/>
      <c r="E332" s="38"/>
      <c r="F332" s="38"/>
      <c r="G332" s="38"/>
      <c r="H332" s="38"/>
      <c r="I332" s="38"/>
      <c r="J332" s="38"/>
      <c r="K332" s="38"/>
      <c r="L332" s="38"/>
      <c r="M332" s="57">
        <f t="shared" si="66"/>
        <v>0</v>
      </c>
      <c r="N332" s="55"/>
      <c r="O332" s="61"/>
    </row>
    <row r="333" spans="1:15" ht="80.25" customHeight="1" hidden="1">
      <c r="A333" s="40"/>
      <c r="B333" s="78" t="s">
        <v>396</v>
      </c>
      <c r="C333" s="38"/>
      <c r="D333" s="38"/>
      <c r="E333" s="38"/>
      <c r="F333" s="38"/>
      <c r="G333" s="38"/>
      <c r="H333" s="38"/>
      <c r="I333" s="38"/>
      <c r="J333" s="38"/>
      <c r="K333" s="38"/>
      <c r="L333" s="38"/>
      <c r="M333" s="57">
        <f t="shared" si="66"/>
        <v>0</v>
      </c>
      <c r="N333" s="55"/>
      <c r="O333" s="61"/>
    </row>
    <row r="334" spans="1:15" ht="51" hidden="1">
      <c r="A334" s="40"/>
      <c r="B334" s="73" t="s">
        <v>347</v>
      </c>
      <c r="C334" s="38"/>
      <c r="D334" s="38"/>
      <c r="E334" s="38"/>
      <c r="F334" s="38"/>
      <c r="G334" s="38"/>
      <c r="H334" s="38"/>
      <c r="I334" s="38"/>
      <c r="J334" s="38"/>
      <c r="K334" s="38"/>
      <c r="L334" s="38"/>
      <c r="M334" s="57">
        <f t="shared" si="66"/>
        <v>0</v>
      </c>
      <c r="N334" s="55"/>
      <c r="O334" s="61"/>
    </row>
    <row r="335" spans="1:15" ht="24">
      <c r="A335" s="106" t="s">
        <v>368</v>
      </c>
      <c r="B335" s="119" t="s">
        <v>314</v>
      </c>
      <c r="C335" s="53">
        <f>C337+C342</f>
        <v>2979172</v>
      </c>
      <c r="D335" s="53">
        <f aca="true" t="shared" si="68" ref="D335:L335">D337+D342</f>
        <v>1577073</v>
      </c>
      <c r="E335" s="53">
        <f t="shared" si="68"/>
        <v>125417</v>
      </c>
      <c r="F335" s="53">
        <f aca="true" t="shared" si="69" ref="F335:F343">G335+J335</f>
        <v>80104</v>
      </c>
      <c r="G335" s="53">
        <f t="shared" si="68"/>
        <v>0</v>
      </c>
      <c r="H335" s="53">
        <f t="shared" si="68"/>
        <v>0</v>
      </c>
      <c r="I335" s="53">
        <f t="shared" si="68"/>
        <v>0</v>
      </c>
      <c r="J335" s="53">
        <f t="shared" si="68"/>
        <v>80104</v>
      </c>
      <c r="K335" s="53">
        <f t="shared" si="68"/>
        <v>80104</v>
      </c>
      <c r="L335" s="53">
        <f t="shared" si="68"/>
        <v>0</v>
      </c>
      <c r="M335" s="54">
        <f aca="true" t="shared" si="70" ref="M335:M371">C335+F335</f>
        <v>3059276</v>
      </c>
      <c r="N335" s="55"/>
      <c r="O335" s="61"/>
    </row>
    <row r="336" spans="1:15" ht="12.75">
      <c r="A336" s="43" t="s">
        <v>199</v>
      </c>
      <c r="B336" s="44" t="s">
        <v>200</v>
      </c>
      <c r="C336" s="37">
        <f>C337</f>
        <v>2941844</v>
      </c>
      <c r="D336" s="37">
        <f>D337</f>
        <v>1577073</v>
      </c>
      <c r="E336" s="37">
        <f>E337</f>
        <v>125417</v>
      </c>
      <c r="F336" s="38">
        <f t="shared" si="69"/>
        <v>80104</v>
      </c>
      <c r="G336" s="37"/>
      <c r="H336" s="37"/>
      <c r="I336" s="37"/>
      <c r="J336" s="37">
        <f>J337</f>
        <v>80104</v>
      </c>
      <c r="K336" s="37">
        <f>K337</f>
        <v>80104</v>
      </c>
      <c r="L336" s="37">
        <f>L337</f>
        <v>0</v>
      </c>
      <c r="M336" s="57">
        <f t="shared" si="70"/>
        <v>3021948</v>
      </c>
      <c r="N336" s="55"/>
      <c r="O336" s="61"/>
    </row>
    <row r="337" spans="1:15" ht="12.75">
      <c r="A337" s="40" t="s">
        <v>76</v>
      </c>
      <c r="B337" s="60" t="s">
        <v>77</v>
      </c>
      <c r="C337" s="38">
        <f>2794296+110027+33972+1147+39008+17340-55800+1854</f>
        <v>2941844</v>
      </c>
      <c r="D337" s="38">
        <f>1559806+24924+28619-37600+1324</f>
        <v>1577073</v>
      </c>
      <c r="E337" s="38">
        <f>108077+17340</f>
        <v>125417</v>
      </c>
      <c r="F337" s="38">
        <f t="shared" si="69"/>
        <v>80104</v>
      </c>
      <c r="G337" s="38"/>
      <c r="H337" s="38"/>
      <c r="I337" s="38"/>
      <c r="J337" s="81">
        <f>36000+10423+33681</f>
        <v>80104</v>
      </c>
      <c r="K337" s="81">
        <f>J337</f>
        <v>80104</v>
      </c>
      <c r="L337" s="38"/>
      <c r="M337" s="57">
        <f t="shared" si="70"/>
        <v>3021948</v>
      </c>
      <c r="N337" s="55"/>
      <c r="O337" s="61"/>
    </row>
    <row r="338" spans="1:15" ht="12.75" hidden="1">
      <c r="A338" s="40" t="s">
        <v>171</v>
      </c>
      <c r="B338" s="60" t="s">
        <v>172</v>
      </c>
      <c r="C338" s="38"/>
      <c r="D338" s="38"/>
      <c r="E338" s="38"/>
      <c r="F338" s="38">
        <f t="shared" si="69"/>
        <v>0</v>
      </c>
      <c r="G338" s="38"/>
      <c r="H338" s="38"/>
      <c r="I338" s="38"/>
      <c r="J338" s="38"/>
      <c r="K338" s="38"/>
      <c r="L338" s="38"/>
      <c r="M338" s="57">
        <f t="shared" si="70"/>
        <v>0</v>
      </c>
      <c r="N338" s="55"/>
      <c r="O338" s="61"/>
    </row>
    <row r="339" spans="1:15" s="56" customFormat="1" ht="178.5" hidden="1">
      <c r="A339" s="40" t="s">
        <v>265</v>
      </c>
      <c r="B339" s="73" t="s">
        <v>243</v>
      </c>
      <c r="C339" s="38"/>
      <c r="D339" s="38"/>
      <c r="E339" s="38"/>
      <c r="F339" s="38">
        <f t="shared" si="69"/>
        <v>0</v>
      </c>
      <c r="G339" s="38"/>
      <c r="H339" s="38"/>
      <c r="I339" s="38"/>
      <c r="J339" s="38"/>
      <c r="K339" s="38"/>
      <c r="L339" s="38"/>
      <c r="M339" s="57">
        <f t="shared" si="70"/>
        <v>0</v>
      </c>
      <c r="N339" s="55"/>
      <c r="O339" s="55"/>
    </row>
    <row r="340" spans="1:15" ht="12.75" hidden="1">
      <c r="A340" s="40" t="s">
        <v>206</v>
      </c>
      <c r="B340" s="36" t="s">
        <v>210</v>
      </c>
      <c r="C340" s="38"/>
      <c r="D340" s="38"/>
      <c r="E340" s="38"/>
      <c r="F340" s="38">
        <f t="shared" si="69"/>
        <v>0</v>
      </c>
      <c r="G340" s="38">
        <f>G341</f>
        <v>0</v>
      </c>
      <c r="H340" s="38">
        <f>H341</f>
        <v>0</v>
      </c>
      <c r="I340" s="38">
        <f>I341</f>
        <v>0</v>
      </c>
      <c r="J340" s="38">
        <f>J341</f>
        <v>0</v>
      </c>
      <c r="K340" s="38">
        <f>K341</f>
        <v>0</v>
      </c>
      <c r="L340" s="38"/>
      <c r="M340" s="57">
        <f t="shared" si="70"/>
        <v>0</v>
      </c>
      <c r="N340" s="55"/>
      <c r="O340" s="61"/>
    </row>
    <row r="341" spans="1:15" ht="25.5" hidden="1">
      <c r="A341" s="40" t="s">
        <v>114</v>
      </c>
      <c r="B341" s="36" t="s">
        <v>166</v>
      </c>
      <c r="C341" s="38"/>
      <c r="D341" s="38"/>
      <c r="E341" s="38"/>
      <c r="F341" s="38">
        <f t="shared" si="69"/>
        <v>0</v>
      </c>
      <c r="G341" s="38"/>
      <c r="H341" s="38"/>
      <c r="I341" s="38"/>
      <c r="J341" s="38"/>
      <c r="K341" s="38"/>
      <c r="L341" s="38"/>
      <c r="M341" s="57">
        <f t="shared" si="70"/>
        <v>0</v>
      </c>
      <c r="N341" s="55"/>
      <c r="O341" s="61"/>
    </row>
    <row r="342" spans="1:15" ht="26.25" customHeight="1">
      <c r="A342" s="40" t="s">
        <v>208</v>
      </c>
      <c r="B342" s="44" t="s">
        <v>209</v>
      </c>
      <c r="C342" s="38">
        <f>C343</f>
        <v>37328</v>
      </c>
      <c r="D342" s="38">
        <f>D343</f>
        <v>0</v>
      </c>
      <c r="E342" s="38">
        <f>E343</f>
        <v>0</v>
      </c>
      <c r="F342" s="38">
        <f t="shared" si="69"/>
        <v>0</v>
      </c>
      <c r="G342" s="38">
        <f>G343</f>
        <v>0</v>
      </c>
      <c r="H342" s="38">
        <f>H343</f>
        <v>0</v>
      </c>
      <c r="I342" s="38">
        <f>I343</f>
        <v>0</v>
      </c>
      <c r="J342" s="38">
        <f>J343</f>
        <v>0</v>
      </c>
      <c r="K342" s="38">
        <f>K343</f>
        <v>0</v>
      </c>
      <c r="L342" s="38"/>
      <c r="M342" s="57">
        <f t="shared" si="70"/>
        <v>37328</v>
      </c>
      <c r="N342" s="55"/>
      <c r="O342" s="61"/>
    </row>
    <row r="343" spans="1:15" ht="12.75">
      <c r="A343" s="40" t="s">
        <v>115</v>
      </c>
      <c r="B343" s="36" t="s">
        <v>149</v>
      </c>
      <c r="C343" s="38">
        <f>C344</f>
        <v>37328</v>
      </c>
      <c r="D343" s="38"/>
      <c r="E343" s="38"/>
      <c r="F343" s="38">
        <f t="shared" si="69"/>
        <v>0</v>
      </c>
      <c r="G343" s="38"/>
      <c r="H343" s="38"/>
      <c r="I343" s="38"/>
      <c r="J343" s="38"/>
      <c r="K343" s="38"/>
      <c r="L343" s="38"/>
      <c r="M343" s="57">
        <f t="shared" si="70"/>
        <v>37328</v>
      </c>
      <c r="N343" s="55"/>
      <c r="O343" s="61"/>
    </row>
    <row r="344" spans="1:15" ht="24" hidden="1">
      <c r="A344" s="40"/>
      <c r="B344" s="39" t="s">
        <v>288</v>
      </c>
      <c r="C344" s="38">
        <f>3456180-1000000-2394072+2927-27707</f>
        <v>37328</v>
      </c>
      <c r="D344" s="38"/>
      <c r="E344" s="38"/>
      <c r="F344" s="38"/>
      <c r="G344" s="38"/>
      <c r="H344" s="38"/>
      <c r="I344" s="38"/>
      <c r="J344" s="38"/>
      <c r="K344" s="38"/>
      <c r="L344" s="38"/>
      <c r="M344" s="57">
        <f t="shared" si="70"/>
        <v>37328</v>
      </c>
      <c r="N344" s="55"/>
      <c r="O344" s="61"/>
    </row>
    <row r="345" spans="1:15" ht="38.25">
      <c r="A345" s="106" t="s">
        <v>373</v>
      </c>
      <c r="B345" s="117" t="s">
        <v>313</v>
      </c>
      <c r="C345" s="53">
        <f>C346+C351</f>
        <v>4738090</v>
      </c>
      <c r="D345" s="53">
        <f>D346+D351</f>
        <v>1308856</v>
      </c>
      <c r="E345" s="53">
        <f>E346+E351</f>
        <v>0</v>
      </c>
      <c r="F345" s="53">
        <f>F347+F351+F349</f>
        <v>98000</v>
      </c>
      <c r="G345" s="53">
        <f aca="true" t="shared" si="71" ref="G345:L345">G346+G351</f>
        <v>0</v>
      </c>
      <c r="H345" s="53">
        <f t="shared" si="71"/>
        <v>0</v>
      </c>
      <c r="I345" s="53">
        <f t="shared" si="71"/>
        <v>0</v>
      </c>
      <c r="J345" s="53">
        <f t="shared" si="71"/>
        <v>98000</v>
      </c>
      <c r="K345" s="53">
        <f t="shared" si="71"/>
        <v>98000</v>
      </c>
      <c r="L345" s="53">
        <f t="shared" si="71"/>
        <v>0</v>
      </c>
      <c r="M345" s="54">
        <f t="shared" si="70"/>
        <v>4836090</v>
      </c>
      <c r="N345" s="55"/>
      <c r="O345" s="61"/>
    </row>
    <row r="346" spans="1:15" ht="12.75">
      <c r="A346" s="43" t="s">
        <v>199</v>
      </c>
      <c r="B346" s="44" t="s">
        <v>200</v>
      </c>
      <c r="C346" s="37">
        <f>C347</f>
        <v>2649422</v>
      </c>
      <c r="D346" s="37">
        <f>D347</f>
        <v>1308856</v>
      </c>
      <c r="E346" s="37"/>
      <c r="F346" s="38">
        <f aca="true" t="shared" si="72" ref="F346:F354">G346+J346</f>
        <v>98000</v>
      </c>
      <c r="G346" s="37"/>
      <c r="H346" s="37"/>
      <c r="I346" s="37"/>
      <c r="J346" s="37">
        <f>K346</f>
        <v>98000</v>
      </c>
      <c r="K346" s="37">
        <f>K347</f>
        <v>98000</v>
      </c>
      <c r="L346" s="37"/>
      <c r="M346" s="57">
        <f t="shared" si="70"/>
        <v>2747422</v>
      </c>
      <c r="N346" s="55"/>
      <c r="O346" s="61"/>
    </row>
    <row r="347" spans="1:15" ht="12.75">
      <c r="A347" s="40" t="s">
        <v>76</v>
      </c>
      <c r="B347" s="60" t="s">
        <v>77</v>
      </c>
      <c r="C347" s="38">
        <f>2246081+493411-23372-10000+7450-98000+29400+4452</f>
        <v>2649422</v>
      </c>
      <c r="D347" s="38">
        <f>1277200+6300+22200+3156</f>
        <v>1308856</v>
      </c>
      <c r="E347" s="37"/>
      <c r="F347" s="38">
        <f t="shared" si="72"/>
        <v>98000</v>
      </c>
      <c r="G347" s="38"/>
      <c r="H347" s="38"/>
      <c r="I347" s="38"/>
      <c r="J347" s="38">
        <f>K347</f>
        <v>98000</v>
      </c>
      <c r="K347" s="38">
        <f>98000</f>
        <v>98000</v>
      </c>
      <c r="L347" s="38"/>
      <c r="M347" s="57">
        <f t="shared" si="70"/>
        <v>2747422</v>
      </c>
      <c r="N347" s="55"/>
      <c r="O347" s="61"/>
    </row>
    <row r="348" spans="1:15" s="56" customFormat="1" ht="12.75" hidden="1">
      <c r="A348" s="40" t="s">
        <v>206</v>
      </c>
      <c r="B348" s="60" t="s">
        <v>210</v>
      </c>
      <c r="C348" s="38"/>
      <c r="D348" s="38"/>
      <c r="E348" s="38"/>
      <c r="F348" s="38">
        <f t="shared" si="72"/>
        <v>0</v>
      </c>
      <c r="G348" s="38">
        <f>G349</f>
        <v>0</v>
      </c>
      <c r="H348" s="38"/>
      <c r="I348" s="38"/>
      <c r="J348" s="38"/>
      <c r="K348" s="38"/>
      <c r="L348" s="38"/>
      <c r="M348" s="57">
        <f t="shared" si="70"/>
        <v>0</v>
      </c>
      <c r="N348" s="55"/>
      <c r="O348" s="55"/>
    </row>
    <row r="349" spans="1:15" s="59" customFormat="1" ht="25.5" hidden="1">
      <c r="A349" s="40" t="s">
        <v>114</v>
      </c>
      <c r="B349" s="62" t="s">
        <v>166</v>
      </c>
      <c r="C349" s="38"/>
      <c r="D349" s="38"/>
      <c r="E349" s="38"/>
      <c r="F349" s="38">
        <f t="shared" si="72"/>
        <v>0</v>
      </c>
      <c r="G349" s="38"/>
      <c r="H349" s="38"/>
      <c r="I349" s="38"/>
      <c r="J349" s="38"/>
      <c r="K349" s="38"/>
      <c r="L349" s="38"/>
      <c r="M349" s="57">
        <f t="shared" si="70"/>
        <v>0</v>
      </c>
      <c r="N349" s="55"/>
      <c r="O349" s="58"/>
    </row>
    <row r="350" spans="1:15" ht="28.5" customHeight="1">
      <c r="A350" s="40" t="s">
        <v>208</v>
      </c>
      <c r="B350" s="62" t="s">
        <v>209</v>
      </c>
      <c r="C350" s="38">
        <f>C351</f>
        <v>2088668</v>
      </c>
      <c r="D350" s="38"/>
      <c r="E350" s="38"/>
      <c r="F350" s="38">
        <f t="shared" si="72"/>
        <v>0</v>
      </c>
      <c r="G350" s="38"/>
      <c r="H350" s="38"/>
      <c r="I350" s="38"/>
      <c r="J350" s="38"/>
      <c r="K350" s="38"/>
      <c r="L350" s="38"/>
      <c r="M350" s="57">
        <f t="shared" si="70"/>
        <v>2088668</v>
      </c>
      <c r="N350" s="55"/>
      <c r="O350" s="61"/>
    </row>
    <row r="351" spans="1:15" ht="12" customHeight="1">
      <c r="A351" s="40" t="s">
        <v>115</v>
      </c>
      <c r="B351" s="36" t="s">
        <v>149</v>
      </c>
      <c r="C351" s="38">
        <f>C354+C352+C353</f>
        <v>2088668</v>
      </c>
      <c r="D351" s="38">
        <f>D354+D352</f>
        <v>0</v>
      </c>
      <c r="E351" s="38">
        <f>E354+E352</f>
        <v>0</v>
      </c>
      <c r="F351" s="38">
        <f t="shared" si="72"/>
        <v>0</v>
      </c>
      <c r="G351" s="38"/>
      <c r="H351" s="38"/>
      <c r="I351" s="38"/>
      <c r="J351" s="38"/>
      <c r="K351" s="38"/>
      <c r="L351" s="38"/>
      <c r="M351" s="57">
        <f t="shared" si="70"/>
        <v>2088668</v>
      </c>
      <c r="N351" s="55"/>
      <c r="O351" s="61"/>
    </row>
    <row r="352" spans="1:15" ht="38.25" customHeight="1" hidden="1">
      <c r="A352" s="40"/>
      <c r="B352" s="62" t="s">
        <v>222</v>
      </c>
      <c r="C352" s="38">
        <f>120000-90886</f>
        <v>29114</v>
      </c>
      <c r="D352" s="38"/>
      <c r="E352" s="38"/>
      <c r="F352" s="38"/>
      <c r="G352" s="38"/>
      <c r="H352" s="38"/>
      <c r="I352" s="38"/>
      <c r="J352" s="38"/>
      <c r="K352" s="38"/>
      <c r="L352" s="38"/>
      <c r="M352" s="57">
        <f t="shared" si="70"/>
        <v>29114</v>
      </c>
      <c r="N352" s="55"/>
      <c r="O352" s="61"/>
    </row>
    <row r="353" spans="1:15" ht="34.5" customHeight="1" hidden="1">
      <c r="A353" s="40"/>
      <c r="B353" s="78" t="s">
        <v>15</v>
      </c>
      <c r="C353" s="38">
        <f>1648500-380000-74596</f>
        <v>1193904</v>
      </c>
      <c r="D353" s="38"/>
      <c r="E353" s="38"/>
      <c r="F353" s="38"/>
      <c r="G353" s="38"/>
      <c r="H353" s="38"/>
      <c r="I353" s="38"/>
      <c r="J353" s="38"/>
      <c r="K353" s="38"/>
      <c r="L353" s="38"/>
      <c r="M353" s="57">
        <f t="shared" si="70"/>
        <v>1193904</v>
      </c>
      <c r="N353" s="55"/>
      <c r="O353" s="61"/>
    </row>
    <row r="354" spans="1:15" ht="52.5" customHeight="1" hidden="1">
      <c r="A354" s="40"/>
      <c r="B354" s="36" t="s">
        <v>256</v>
      </c>
      <c r="C354" s="38">
        <f>544597+98520+380000-70000-87467</f>
        <v>865650</v>
      </c>
      <c r="D354" s="38"/>
      <c r="E354" s="38"/>
      <c r="F354" s="38">
        <f t="shared" si="72"/>
        <v>0</v>
      </c>
      <c r="G354" s="38"/>
      <c r="H354" s="38"/>
      <c r="I354" s="38"/>
      <c r="J354" s="38"/>
      <c r="K354" s="38"/>
      <c r="L354" s="38"/>
      <c r="M354" s="57">
        <f t="shared" si="70"/>
        <v>865650</v>
      </c>
      <c r="N354" s="55"/>
      <c r="O354" s="61"/>
    </row>
    <row r="355" spans="1:14" s="59" customFormat="1" ht="34.5" customHeight="1">
      <c r="A355" s="106" t="s">
        <v>375</v>
      </c>
      <c r="B355" s="105" t="s">
        <v>332</v>
      </c>
      <c r="C355" s="53">
        <f aca="true" t="shared" si="73" ref="C355:E356">C356</f>
        <v>744942</v>
      </c>
      <c r="D355" s="53">
        <f t="shared" si="73"/>
        <v>468521</v>
      </c>
      <c r="E355" s="53">
        <f t="shared" si="73"/>
        <v>0</v>
      </c>
      <c r="F355" s="53">
        <f aca="true" t="shared" si="74" ref="F355:F362">G355+J355</f>
        <v>0</v>
      </c>
      <c r="G355" s="53"/>
      <c r="H355" s="53"/>
      <c r="I355" s="53"/>
      <c r="J355" s="53">
        <f aca="true" t="shared" si="75" ref="J355:L356">J356</f>
        <v>0</v>
      </c>
      <c r="K355" s="53">
        <f t="shared" si="75"/>
        <v>0</v>
      </c>
      <c r="L355" s="53">
        <f t="shared" si="75"/>
        <v>0</v>
      </c>
      <c r="M355" s="54">
        <f t="shared" si="70"/>
        <v>744942</v>
      </c>
      <c r="N355" s="55"/>
    </row>
    <row r="356" spans="1:14" s="59" customFormat="1" ht="12.75" customHeight="1">
      <c r="A356" s="43" t="s">
        <v>199</v>
      </c>
      <c r="B356" s="44" t="s">
        <v>200</v>
      </c>
      <c r="C356" s="38">
        <f t="shared" si="73"/>
        <v>744942</v>
      </c>
      <c r="D356" s="38">
        <f t="shared" si="73"/>
        <v>468521</v>
      </c>
      <c r="E356" s="38">
        <f t="shared" si="73"/>
        <v>0</v>
      </c>
      <c r="F356" s="38">
        <f t="shared" si="74"/>
        <v>0</v>
      </c>
      <c r="G356" s="38"/>
      <c r="H356" s="38"/>
      <c r="I356" s="38"/>
      <c r="J356" s="38">
        <f t="shared" si="75"/>
        <v>0</v>
      </c>
      <c r="K356" s="38">
        <f t="shared" si="75"/>
        <v>0</v>
      </c>
      <c r="L356" s="38">
        <f t="shared" si="75"/>
        <v>0</v>
      </c>
      <c r="M356" s="57">
        <f t="shared" si="70"/>
        <v>744942</v>
      </c>
      <c r="N356" s="55"/>
    </row>
    <row r="357" spans="1:14" s="59" customFormat="1" ht="12.75">
      <c r="A357" s="40" t="s">
        <v>76</v>
      </c>
      <c r="B357" s="60" t="s">
        <v>77</v>
      </c>
      <c r="C357" s="38">
        <f>718327+31612-12600+6546+1057</f>
        <v>744942</v>
      </c>
      <c r="D357" s="38">
        <f>469770-6830+4805+776</f>
        <v>468521</v>
      </c>
      <c r="E357" s="37">
        <f>26500-26500</f>
        <v>0</v>
      </c>
      <c r="F357" s="38">
        <f t="shared" si="74"/>
        <v>0</v>
      </c>
      <c r="G357" s="38"/>
      <c r="H357" s="38"/>
      <c r="I357" s="38"/>
      <c r="J357" s="38"/>
      <c r="K357" s="38"/>
      <c r="L357" s="38"/>
      <c r="M357" s="57">
        <f t="shared" si="70"/>
        <v>744942</v>
      </c>
      <c r="N357" s="55"/>
    </row>
    <row r="358" spans="1:15" ht="24.75" customHeight="1">
      <c r="A358" s="106" t="s">
        <v>380</v>
      </c>
      <c r="B358" s="120" t="s">
        <v>333</v>
      </c>
      <c r="C358" s="53">
        <f>C360+C361</f>
        <v>1232339</v>
      </c>
      <c r="D358" s="53">
        <f aca="true" t="shared" si="76" ref="D358:L358">D360+D361</f>
        <v>759440</v>
      </c>
      <c r="E358" s="53">
        <f t="shared" si="76"/>
        <v>0</v>
      </c>
      <c r="F358" s="53">
        <f t="shared" si="74"/>
        <v>1736056</v>
      </c>
      <c r="G358" s="53">
        <f t="shared" si="76"/>
        <v>1707056</v>
      </c>
      <c r="H358" s="53">
        <f t="shared" si="76"/>
        <v>0</v>
      </c>
      <c r="I358" s="53">
        <f t="shared" si="76"/>
        <v>0</v>
      </c>
      <c r="J358" s="53">
        <f t="shared" si="76"/>
        <v>29000</v>
      </c>
      <c r="K358" s="53">
        <f t="shared" si="76"/>
        <v>29000</v>
      </c>
      <c r="L358" s="53">
        <f t="shared" si="76"/>
        <v>0</v>
      </c>
      <c r="M358" s="53">
        <f t="shared" si="70"/>
        <v>2968395</v>
      </c>
      <c r="N358" s="55"/>
      <c r="O358" s="61"/>
    </row>
    <row r="359" spans="1:15" ht="13.5" customHeight="1">
      <c r="A359" s="40" t="s">
        <v>199</v>
      </c>
      <c r="B359" s="44" t="s">
        <v>200</v>
      </c>
      <c r="C359" s="38">
        <f>C360</f>
        <v>1232339</v>
      </c>
      <c r="D359" s="38">
        <f>D360</f>
        <v>759440</v>
      </c>
      <c r="E359" s="38">
        <f>E360</f>
        <v>0</v>
      </c>
      <c r="F359" s="38">
        <f t="shared" si="74"/>
        <v>29000</v>
      </c>
      <c r="G359" s="38">
        <f aca="true" t="shared" si="77" ref="G359:L359">G360</f>
        <v>0</v>
      </c>
      <c r="H359" s="38">
        <f t="shared" si="77"/>
        <v>0</v>
      </c>
      <c r="I359" s="38">
        <f t="shared" si="77"/>
        <v>0</v>
      </c>
      <c r="J359" s="38">
        <f t="shared" si="77"/>
        <v>29000</v>
      </c>
      <c r="K359" s="38">
        <f t="shared" si="77"/>
        <v>29000</v>
      </c>
      <c r="L359" s="38">
        <f t="shared" si="77"/>
        <v>0</v>
      </c>
      <c r="M359" s="57">
        <f t="shared" si="70"/>
        <v>1261339</v>
      </c>
      <c r="N359" s="55"/>
      <c r="O359" s="61"/>
    </row>
    <row r="360" spans="1:15" ht="13.5" customHeight="1">
      <c r="A360" s="40" t="s">
        <v>76</v>
      </c>
      <c r="B360" s="60" t="s">
        <v>77</v>
      </c>
      <c r="C360" s="38">
        <f>1161841+40999+66299-10000-17800-9000</f>
        <v>1232339</v>
      </c>
      <c r="D360" s="38">
        <f>734198+48642-10000-13400</f>
        <v>759440</v>
      </c>
      <c r="E360" s="37"/>
      <c r="F360" s="38">
        <f t="shared" si="74"/>
        <v>29000</v>
      </c>
      <c r="G360" s="38"/>
      <c r="H360" s="38"/>
      <c r="I360" s="38"/>
      <c r="J360" s="38">
        <v>29000</v>
      </c>
      <c r="K360" s="38">
        <f>J360</f>
        <v>29000</v>
      </c>
      <c r="L360" s="38"/>
      <c r="M360" s="57">
        <f t="shared" si="70"/>
        <v>1261339</v>
      </c>
      <c r="N360" s="55"/>
      <c r="O360" s="61"/>
    </row>
    <row r="361" spans="1:15" s="56" customFormat="1" ht="25.5">
      <c r="A361" s="79" t="s">
        <v>334</v>
      </c>
      <c r="B361" s="78" t="s">
        <v>335</v>
      </c>
      <c r="C361" s="38"/>
      <c r="D361" s="38"/>
      <c r="E361" s="38"/>
      <c r="F361" s="38">
        <f t="shared" si="74"/>
        <v>1707056</v>
      </c>
      <c r="G361" s="38">
        <f>G362</f>
        <v>1707056</v>
      </c>
      <c r="H361" s="38">
        <f>H362</f>
        <v>0</v>
      </c>
      <c r="I361" s="38">
        <f>I362</f>
        <v>0</v>
      </c>
      <c r="J361" s="38">
        <f>J362</f>
        <v>0</v>
      </c>
      <c r="K361" s="38">
        <f>K362</f>
        <v>0</v>
      </c>
      <c r="L361" s="38"/>
      <c r="M361" s="57">
        <f t="shared" si="70"/>
        <v>1707056</v>
      </c>
      <c r="N361" s="55"/>
      <c r="O361" s="55"/>
    </row>
    <row r="362" spans="1:14" ht="12.75">
      <c r="A362" s="79" t="s">
        <v>336</v>
      </c>
      <c r="B362" s="78" t="s">
        <v>337</v>
      </c>
      <c r="C362" s="38"/>
      <c r="D362" s="38"/>
      <c r="E362" s="38"/>
      <c r="F362" s="38">
        <f t="shared" si="74"/>
        <v>1707056</v>
      </c>
      <c r="G362" s="38">
        <v>1707056</v>
      </c>
      <c r="H362" s="38"/>
      <c r="I362" s="38"/>
      <c r="J362" s="38"/>
      <c r="K362" s="38"/>
      <c r="L362" s="38"/>
      <c r="M362" s="57">
        <f t="shared" si="70"/>
        <v>1707056</v>
      </c>
      <c r="N362" s="55"/>
    </row>
    <row r="363" spans="1:15" ht="25.5">
      <c r="A363" s="106" t="s">
        <v>374</v>
      </c>
      <c r="B363" s="117" t="s">
        <v>318</v>
      </c>
      <c r="C363" s="53">
        <f>C365+C367+C369</f>
        <v>940002</v>
      </c>
      <c r="D363" s="53">
        <f>D365+D367+D369</f>
        <v>598455</v>
      </c>
      <c r="E363" s="53">
        <f>E365+E367+E369</f>
        <v>37932</v>
      </c>
      <c r="F363" s="53">
        <f aca="true" t="shared" si="78" ref="F363:F371">G363+J363</f>
        <v>41734895</v>
      </c>
      <c r="G363" s="53">
        <f aca="true" t="shared" si="79" ref="G363:L363">G365+G367+G369+G368</f>
        <v>911008</v>
      </c>
      <c r="H363" s="53">
        <f t="shared" si="79"/>
        <v>0</v>
      </c>
      <c r="I363" s="53">
        <f t="shared" si="79"/>
        <v>0</v>
      </c>
      <c r="J363" s="53">
        <f t="shared" si="79"/>
        <v>40823887</v>
      </c>
      <c r="K363" s="53">
        <f t="shared" si="79"/>
        <v>0</v>
      </c>
      <c r="L363" s="53">
        <f t="shared" si="79"/>
        <v>0</v>
      </c>
      <c r="M363" s="54">
        <f t="shared" si="70"/>
        <v>42674897</v>
      </c>
      <c r="N363" s="55"/>
      <c r="O363" s="61"/>
    </row>
    <row r="364" spans="1:15" ht="12.75">
      <c r="A364" s="43" t="s">
        <v>199</v>
      </c>
      <c r="B364" s="44" t="s">
        <v>200</v>
      </c>
      <c r="C364" s="37">
        <f>C365</f>
        <v>923269</v>
      </c>
      <c r="D364" s="37">
        <f>D365</f>
        <v>598455</v>
      </c>
      <c r="E364" s="37">
        <f>E365</f>
        <v>37932</v>
      </c>
      <c r="F364" s="38">
        <f t="shared" si="78"/>
        <v>0</v>
      </c>
      <c r="G364" s="37"/>
      <c r="H364" s="37"/>
      <c r="I364" s="37"/>
      <c r="J364" s="37"/>
      <c r="K364" s="37"/>
      <c r="L364" s="37"/>
      <c r="M364" s="57">
        <f t="shared" si="70"/>
        <v>923269</v>
      </c>
      <c r="N364" s="55"/>
      <c r="O364" s="61"/>
    </row>
    <row r="365" spans="1:15" ht="12.75">
      <c r="A365" s="40" t="s">
        <v>76</v>
      </c>
      <c r="B365" s="60" t="s">
        <v>77</v>
      </c>
      <c r="C365" s="38">
        <f>910122+3137+8500+1510</f>
        <v>923269</v>
      </c>
      <c r="D365" s="38">
        <f>592415+5100+940</f>
        <v>598455</v>
      </c>
      <c r="E365" s="38">
        <v>37932</v>
      </c>
      <c r="F365" s="38">
        <f t="shared" si="78"/>
        <v>0</v>
      </c>
      <c r="G365" s="38"/>
      <c r="H365" s="38"/>
      <c r="I365" s="38"/>
      <c r="J365" s="38"/>
      <c r="K365" s="38"/>
      <c r="L365" s="38"/>
      <c r="M365" s="57">
        <f t="shared" si="70"/>
        <v>923269</v>
      </c>
      <c r="N365" s="55"/>
      <c r="O365" s="61"/>
    </row>
    <row r="366" spans="1:15" ht="12.75">
      <c r="A366" s="40" t="s">
        <v>206</v>
      </c>
      <c r="B366" s="62" t="s">
        <v>210</v>
      </c>
      <c r="C366" s="38"/>
      <c r="D366" s="38"/>
      <c r="E366" s="38"/>
      <c r="F366" s="38">
        <f t="shared" si="78"/>
        <v>41734895</v>
      </c>
      <c r="G366" s="38">
        <f>G367+G368</f>
        <v>911008</v>
      </c>
      <c r="H366" s="38">
        <f>H367+H368</f>
        <v>0</v>
      </c>
      <c r="I366" s="38">
        <f>I367+I368</f>
        <v>0</v>
      </c>
      <c r="J366" s="38">
        <f>J367+J368</f>
        <v>40823887</v>
      </c>
      <c r="K366" s="38">
        <f>K367+K368</f>
        <v>0</v>
      </c>
      <c r="L366" s="38"/>
      <c r="M366" s="57">
        <f t="shared" si="70"/>
        <v>41734895</v>
      </c>
      <c r="N366" s="55"/>
      <c r="O366" s="61"/>
    </row>
    <row r="367" spans="1:15" ht="24.75" customHeight="1">
      <c r="A367" s="40" t="s">
        <v>170</v>
      </c>
      <c r="B367" s="62" t="s">
        <v>185</v>
      </c>
      <c r="C367" s="38"/>
      <c r="D367" s="38"/>
      <c r="E367" s="38"/>
      <c r="F367" s="38">
        <f t="shared" si="78"/>
        <v>41695595</v>
      </c>
      <c r="G367" s="38">
        <f>346300+491200+94000+120000-24500+80000-230000</f>
        <v>877000</v>
      </c>
      <c r="H367" s="38"/>
      <c r="I367" s="38"/>
      <c r="J367" s="38">
        <f>17661200-2255031+21042746-120000+24500+4015180-280000+230000+500000</f>
        <v>40818595</v>
      </c>
      <c r="K367" s="38"/>
      <c r="L367" s="38"/>
      <c r="M367" s="57">
        <f t="shared" si="70"/>
        <v>41695595</v>
      </c>
      <c r="N367" s="55"/>
      <c r="O367" s="61"/>
    </row>
    <row r="368" spans="1:15" ht="25.5">
      <c r="A368" s="40" t="s">
        <v>114</v>
      </c>
      <c r="B368" s="62" t="s">
        <v>166</v>
      </c>
      <c r="C368" s="38"/>
      <c r="D368" s="38"/>
      <c r="E368" s="38"/>
      <c r="F368" s="38">
        <f t="shared" si="78"/>
        <v>39300</v>
      </c>
      <c r="G368" s="38">
        <f>46569-12561</f>
        <v>34008</v>
      </c>
      <c r="H368" s="38"/>
      <c r="I368" s="38"/>
      <c r="J368" s="38">
        <v>5292</v>
      </c>
      <c r="K368" s="38"/>
      <c r="L368" s="38"/>
      <c r="M368" s="57">
        <f t="shared" si="70"/>
        <v>39300</v>
      </c>
      <c r="N368" s="55"/>
      <c r="O368" s="61"/>
    </row>
    <row r="369" spans="1:15" s="56" customFormat="1" ht="25.5">
      <c r="A369" s="79" t="s">
        <v>208</v>
      </c>
      <c r="B369" s="78" t="s">
        <v>209</v>
      </c>
      <c r="C369" s="38">
        <f>C370</f>
        <v>16733</v>
      </c>
      <c r="D369" s="38"/>
      <c r="E369" s="38"/>
      <c r="F369" s="38">
        <f t="shared" si="78"/>
        <v>0</v>
      </c>
      <c r="G369" s="38"/>
      <c r="H369" s="38"/>
      <c r="I369" s="38"/>
      <c r="J369" s="38"/>
      <c r="K369" s="38"/>
      <c r="L369" s="38"/>
      <c r="M369" s="57">
        <f t="shared" si="70"/>
        <v>16733</v>
      </c>
      <c r="N369" s="55"/>
      <c r="O369" s="55"/>
    </row>
    <row r="370" spans="1:15" s="59" customFormat="1" ht="12.75">
      <c r="A370" s="79" t="s">
        <v>115</v>
      </c>
      <c r="B370" s="73" t="s">
        <v>149</v>
      </c>
      <c r="C370" s="38">
        <f>C371</f>
        <v>16733</v>
      </c>
      <c r="D370" s="38"/>
      <c r="E370" s="38"/>
      <c r="F370" s="38">
        <f t="shared" si="78"/>
        <v>0</v>
      </c>
      <c r="G370" s="38"/>
      <c r="H370" s="38"/>
      <c r="I370" s="38"/>
      <c r="J370" s="38"/>
      <c r="K370" s="38"/>
      <c r="L370" s="38"/>
      <c r="M370" s="57">
        <f t="shared" si="70"/>
        <v>16733</v>
      </c>
      <c r="N370" s="55"/>
      <c r="O370" s="58"/>
    </row>
    <row r="371" spans="1:15" ht="27.75" customHeight="1" hidden="1">
      <c r="A371" s="40"/>
      <c r="B371" s="73" t="s">
        <v>2</v>
      </c>
      <c r="C371" s="38">
        <v>16733</v>
      </c>
      <c r="D371" s="38"/>
      <c r="E371" s="38"/>
      <c r="F371" s="38">
        <f t="shared" si="78"/>
        <v>0</v>
      </c>
      <c r="G371" s="38"/>
      <c r="H371" s="38"/>
      <c r="I371" s="38"/>
      <c r="J371" s="38"/>
      <c r="K371" s="38"/>
      <c r="L371" s="38"/>
      <c r="M371" s="57">
        <f t="shared" si="70"/>
        <v>16733</v>
      </c>
      <c r="N371" s="55"/>
      <c r="O371" s="61"/>
    </row>
    <row r="372" spans="1:15" ht="41.25" customHeight="1">
      <c r="A372" s="106" t="s">
        <v>372</v>
      </c>
      <c r="B372" s="117" t="s">
        <v>322</v>
      </c>
      <c r="C372" s="53">
        <f>C373+C379+C375+C386+C380</f>
        <v>26302482</v>
      </c>
      <c r="D372" s="53">
        <f>D373+D379+D375+D386+D380</f>
        <v>605040</v>
      </c>
      <c r="E372" s="53">
        <f>E373+E379+E375+E386+E380</f>
        <v>15816</v>
      </c>
      <c r="F372" s="53">
        <f>G372+J372</f>
        <v>4610045</v>
      </c>
      <c r="G372" s="53">
        <f>G373+G379+G375+G386+G380</f>
        <v>0</v>
      </c>
      <c r="H372" s="53">
        <f>H373+H379+H375+H386+H380</f>
        <v>0</v>
      </c>
      <c r="I372" s="53">
        <f>I373+I379+I375+I386+I380</f>
        <v>0</v>
      </c>
      <c r="J372" s="53">
        <f>J373+J379+J375+J386+J380+J383+J377</f>
        <v>4610045</v>
      </c>
      <c r="K372" s="53">
        <f>K373+K379+K375+K386+K380+K383+K377</f>
        <v>4610045</v>
      </c>
      <c r="L372" s="53">
        <f>L373+L379+L375+L386+L380</f>
        <v>0</v>
      </c>
      <c r="M372" s="53">
        <f>M373+M379+M375+M383+M386+M380+M377</f>
        <v>30912527</v>
      </c>
      <c r="N372" s="55"/>
      <c r="O372" s="61"/>
    </row>
    <row r="373" spans="1:15" ht="12.75">
      <c r="A373" s="40" t="s">
        <v>199</v>
      </c>
      <c r="B373" s="60" t="s">
        <v>200</v>
      </c>
      <c r="C373" s="38">
        <f aca="true" t="shared" si="80" ref="C373:M373">C374</f>
        <v>924139</v>
      </c>
      <c r="D373" s="38">
        <f t="shared" si="80"/>
        <v>605040</v>
      </c>
      <c r="E373" s="38">
        <f t="shared" si="80"/>
        <v>15816</v>
      </c>
      <c r="F373" s="38">
        <f t="shared" si="80"/>
        <v>0</v>
      </c>
      <c r="G373" s="38">
        <f t="shared" si="80"/>
        <v>0</v>
      </c>
      <c r="H373" s="38">
        <f t="shared" si="80"/>
        <v>0</v>
      </c>
      <c r="I373" s="38">
        <f t="shared" si="80"/>
        <v>0</v>
      </c>
      <c r="J373" s="38">
        <f t="shared" si="80"/>
        <v>0</v>
      </c>
      <c r="K373" s="38">
        <f t="shared" si="80"/>
        <v>0</v>
      </c>
      <c r="L373" s="38"/>
      <c r="M373" s="38">
        <f t="shared" si="80"/>
        <v>924139</v>
      </c>
      <c r="N373" s="55"/>
      <c r="O373" s="61"/>
    </row>
    <row r="374" spans="1:15" ht="12.75">
      <c r="A374" s="40" t="s">
        <v>76</v>
      </c>
      <c r="B374" s="60" t="s">
        <v>77</v>
      </c>
      <c r="C374" s="38">
        <f>895668+18312+1759+8400</f>
        <v>924139</v>
      </c>
      <c r="D374" s="38">
        <f>598840+6200</f>
        <v>605040</v>
      </c>
      <c r="E374" s="38">
        <f>14057+1759</f>
        <v>15816</v>
      </c>
      <c r="F374" s="38">
        <f aca="true" t="shared" si="81" ref="F374:F390">G374+J374</f>
        <v>0</v>
      </c>
      <c r="G374" s="38"/>
      <c r="H374" s="38"/>
      <c r="I374" s="38"/>
      <c r="J374" s="38"/>
      <c r="K374" s="38"/>
      <c r="L374" s="38"/>
      <c r="M374" s="57">
        <f aca="true" t="shared" si="82" ref="M374:M425">C374+F374</f>
        <v>924139</v>
      </c>
      <c r="N374" s="55"/>
      <c r="O374" s="61"/>
    </row>
    <row r="375" spans="1:15" ht="12.75">
      <c r="A375" s="79" t="s">
        <v>201</v>
      </c>
      <c r="B375" s="36" t="s">
        <v>202</v>
      </c>
      <c r="C375" s="38">
        <f>C376</f>
        <v>2179800</v>
      </c>
      <c r="D375" s="38">
        <f aca="true" t="shared" si="83" ref="D375:L375">D376</f>
        <v>0</v>
      </c>
      <c r="E375" s="38">
        <f t="shared" si="83"/>
        <v>0</v>
      </c>
      <c r="F375" s="38">
        <f t="shared" si="81"/>
        <v>0</v>
      </c>
      <c r="G375" s="38">
        <f t="shared" si="83"/>
        <v>0</v>
      </c>
      <c r="H375" s="38">
        <f t="shared" si="83"/>
        <v>0</v>
      </c>
      <c r="I375" s="38">
        <f t="shared" si="83"/>
        <v>0</v>
      </c>
      <c r="J375" s="38">
        <f t="shared" si="83"/>
        <v>0</v>
      </c>
      <c r="K375" s="38">
        <f t="shared" si="83"/>
        <v>0</v>
      </c>
      <c r="L375" s="38">
        <f t="shared" si="83"/>
        <v>0</v>
      </c>
      <c r="M375" s="57">
        <f t="shared" si="82"/>
        <v>2179800</v>
      </c>
      <c r="N375" s="55"/>
      <c r="O375" s="61"/>
    </row>
    <row r="376" spans="1:15" ht="12.75">
      <c r="A376" s="79" t="s">
        <v>228</v>
      </c>
      <c r="B376" s="80" t="s">
        <v>229</v>
      </c>
      <c r="C376" s="81">
        <f>2200000-20200</f>
        <v>2179800</v>
      </c>
      <c r="D376" s="38"/>
      <c r="E376" s="38"/>
      <c r="F376" s="38">
        <f t="shared" si="81"/>
        <v>0</v>
      </c>
      <c r="G376" s="38"/>
      <c r="H376" s="38"/>
      <c r="I376" s="38"/>
      <c r="J376" s="38">
        <f>K376</f>
        <v>0</v>
      </c>
      <c r="K376" s="38">
        <f>L376</f>
        <v>0</v>
      </c>
      <c r="L376" s="38"/>
      <c r="M376" s="57">
        <f t="shared" si="82"/>
        <v>2179800</v>
      </c>
      <c r="N376" s="55"/>
      <c r="O376" s="61"/>
    </row>
    <row r="377" spans="1:15" ht="12.75">
      <c r="A377" s="40" t="s">
        <v>203</v>
      </c>
      <c r="B377" s="36" t="s">
        <v>110</v>
      </c>
      <c r="C377" s="81"/>
      <c r="D377" s="38"/>
      <c r="E377" s="38"/>
      <c r="F377" s="38">
        <f t="shared" si="81"/>
        <v>98000</v>
      </c>
      <c r="G377" s="38"/>
      <c r="H377" s="38"/>
      <c r="I377" s="38"/>
      <c r="J377" s="38">
        <f>J378</f>
        <v>98000</v>
      </c>
      <c r="K377" s="38">
        <f>K378</f>
        <v>98000</v>
      </c>
      <c r="L377" s="38"/>
      <c r="M377" s="57">
        <f t="shared" si="82"/>
        <v>98000</v>
      </c>
      <c r="N377" s="55"/>
      <c r="O377" s="61"/>
    </row>
    <row r="378" spans="1:15" ht="12.75">
      <c r="A378" s="40" t="s">
        <v>171</v>
      </c>
      <c r="B378" s="36" t="s">
        <v>172</v>
      </c>
      <c r="C378" s="38"/>
      <c r="D378" s="38"/>
      <c r="E378" s="38"/>
      <c r="F378" s="38">
        <f t="shared" si="81"/>
        <v>98000</v>
      </c>
      <c r="G378" s="38"/>
      <c r="H378" s="38"/>
      <c r="I378" s="38"/>
      <c r="J378" s="38">
        <f>K378</f>
        <v>98000</v>
      </c>
      <c r="K378" s="81">
        <f>2355141+98000-2355141</f>
        <v>98000</v>
      </c>
      <c r="L378" s="38"/>
      <c r="M378" s="57">
        <f t="shared" si="82"/>
        <v>98000</v>
      </c>
      <c r="N378" s="55"/>
      <c r="O378" s="61"/>
    </row>
    <row r="379" spans="1:15" ht="24.75" customHeight="1" hidden="1">
      <c r="A379" s="40" t="s">
        <v>204</v>
      </c>
      <c r="B379" s="36" t="s">
        <v>205</v>
      </c>
      <c r="C379" s="38"/>
      <c r="D379" s="38">
        <f>D382</f>
        <v>0</v>
      </c>
      <c r="E379" s="38">
        <f>E382</f>
        <v>0</v>
      </c>
      <c r="F379" s="38">
        <f t="shared" si="81"/>
        <v>0</v>
      </c>
      <c r="G379" s="38"/>
      <c r="H379" s="38"/>
      <c r="I379" s="38"/>
      <c r="J379" s="38"/>
      <c r="K379" s="81"/>
      <c r="L379" s="38"/>
      <c r="M379" s="57">
        <f t="shared" si="82"/>
        <v>0</v>
      </c>
      <c r="N379" s="55"/>
      <c r="O379" s="61"/>
    </row>
    <row r="380" spans="1:15" ht="38.25">
      <c r="A380" s="79" t="s">
        <v>204</v>
      </c>
      <c r="B380" s="73" t="s">
        <v>205</v>
      </c>
      <c r="C380" s="38">
        <f>C381+C382</f>
        <v>17717929</v>
      </c>
      <c r="D380" s="38"/>
      <c r="E380" s="38"/>
      <c r="F380" s="38">
        <f t="shared" si="81"/>
        <v>883500</v>
      </c>
      <c r="G380" s="38">
        <f aca="true" t="shared" si="84" ref="G380:L380">G381</f>
        <v>0</v>
      </c>
      <c r="H380" s="38">
        <f t="shared" si="84"/>
        <v>0</v>
      </c>
      <c r="I380" s="38">
        <f t="shared" si="84"/>
        <v>0</v>
      </c>
      <c r="J380" s="38">
        <f t="shared" si="84"/>
        <v>883500</v>
      </c>
      <c r="K380" s="81">
        <f t="shared" si="84"/>
        <v>883500</v>
      </c>
      <c r="L380" s="38">
        <f t="shared" si="84"/>
        <v>0</v>
      </c>
      <c r="M380" s="57">
        <f t="shared" si="82"/>
        <v>18601429</v>
      </c>
      <c r="N380" s="55"/>
      <c r="O380" s="61"/>
    </row>
    <row r="381" spans="1:15" ht="25.5">
      <c r="A381" s="79" t="s">
        <v>17</v>
      </c>
      <c r="B381" s="73" t="s">
        <v>18</v>
      </c>
      <c r="C381" s="38">
        <f>174300+43629</f>
        <v>217929</v>
      </c>
      <c r="D381" s="38"/>
      <c r="E381" s="38"/>
      <c r="F381" s="38">
        <f t="shared" si="81"/>
        <v>883500</v>
      </c>
      <c r="G381" s="38"/>
      <c r="H381" s="38"/>
      <c r="I381" s="38"/>
      <c r="J381" s="38">
        <f>K381</f>
        <v>883500</v>
      </c>
      <c r="K381" s="81">
        <f>878070+705430-700000</f>
        <v>883500</v>
      </c>
      <c r="L381" s="38"/>
      <c r="M381" s="57">
        <f t="shared" si="82"/>
        <v>1101429</v>
      </c>
      <c r="N381" s="55"/>
      <c r="O381" s="61"/>
    </row>
    <row r="382" spans="1:15" ht="27" customHeight="1">
      <c r="A382" s="40" t="s">
        <v>269</v>
      </c>
      <c r="B382" s="36" t="s">
        <v>281</v>
      </c>
      <c r="C382" s="38">
        <f>3000000+2500000+5000000+2000000+5000000</f>
        <v>17500000</v>
      </c>
      <c r="D382" s="38"/>
      <c r="E382" s="38"/>
      <c r="F382" s="38">
        <f t="shared" si="81"/>
        <v>0</v>
      </c>
      <c r="G382" s="38"/>
      <c r="H382" s="38"/>
      <c r="I382" s="38"/>
      <c r="J382" s="38"/>
      <c r="K382" s="81"/>
      <c r="L382" s="38"/>
      <c r="M382" s="57">
        <f t="shared" si="82"/>
        <v>17500000</v>
      </c>
      <c r="N382" s="55"/>
      <c r="O382" s="61"/>
    </row>
    <row r="383" spans="1:15" ht="25.5">
      <c r="A383" s="40" t="s">
        <v>214</v>
      </c>
      <c r="B383" s="60" t="s">
        <v>215</v>
      </c>
      <c r="C383" s="38">
        <f>C384</f>
        <v>0</v>
      </c>
      <c r="D383" s="38">
        <f>D384</f>
        <v>0</v>
      </c>
      <c r="E383" s="38">
        <f>E384</f>
        <v>0</v>
      </c>
      <c r="F383" s="38">
        <f t="shared" si="81"/>
        <v>2158885</v>
      </c>
      <c r="G383" s="38">
        <f aca="true" t="shared" si="85" ref="G383:L383">G384</f>
        <v>0</v>
      </c>
      <c r="H383" s="38">
        <f t="shared" si="85"/>
        <v>0</v>
      </c>
      <c r="I383" s="38">
        <f t="shared" si="85"/>
        <v>0</v>
      </c>
      <c r="J383" s="38">
        <f t="shared" si="85"/>
        <v>2158885</v>
      </c>
      <c r="K383" s="38">
        <f t="shared" si="85"/>
        <v>2158885</v>
      </c>
      <c r="L383" s="38">
        <f t="shared" si="85"/>
        <v>0</v>
      </c>
      <c r="M383" s="57">
        <f t="shared" si="82"/>
        <v>2158885</v>
      </c>
      <c r="N383" s="55"/>
      <c r="O383" s="61"/>
    </row>
    <row r="384" spans="1:15" ht="51">
      <c r="A384" s="40" t="s">
        <v>188</v>
      </c>
      <c r="B384" s="73" t="s">
        <v>19</v>
      </c>
      <c r="C384" s="38"/>
      <c r="D384" s="38"/>
      <c r="E384" s="38"/>
      <c r="F384" s="38">
        <f t="shared" si="81"/>
        <v>2158885</v>
      </c>
      <c r="G384" s="38"/>
      <c r="H384" s="38"/>
      <c r="I384" s="38"/>
      <c r="J384" s="81">
        <f>293193+634942+4400000-504379-2355141+794570+900000-1354480-24380+1469660-10870-614570-1469660</f>
        <v>2158885</v>
      </c>
      <c r="K384" s="81">
        <f>J384</f>
        <v>2158885</v>
      </c>
      <c r="L384" s="38"/>
      <c r="M384" s="57">
        <f t="shared" si="82"/>
        <v>2158885</v>
      </c>
      <c r="N384" s="55"/>
      <c r="O384" s="61"/>
    </row>
    <row r="385" spans="1:15" ht="25.5" customHeight="1">
      <c r="A385" s="40" t="s">
        <v>208</v>
      </c>
      <c r="B385" s="62" t="s">
        <v>209</v>
      </c>
      <c r="C385" s="38">
        <f>C386</f>
        <v>5480614</v>
      </c>
      <c r="D385" s="38">
        <f aca="true" t="shared" si="86" ref="D385:L385">D386</f>
        <v>0</v>
      </c>
      <c r="E385" s="38">
        <f t="shared" si="86"/>
        <v>0</v>
      </c>
      <c r="F385" s="38">
        <f t="shared" si="81"/>
        <v>1469660</v>
      </c>
      <c r="G385" s="38">
        <f t="shared" si="86"/>
        <v>0</v>
      </c>
      <c r="H385" s="38">
        <f t="shared" si="86"/>
        <v>0</v>
      </c>
      <c r="I385" s="38">
        <f t="shared" si="86"/>
        <v>0</v>
      </c>
      <c r="J385" s="38">
        <f t="shared" si="86"/>
        <v>1469660</v>
      </c>
      <c r="K385" s="38">
        <f t="shared" si="86"/>
        <v>1469660</v>
      </c>
      <c r="L385" s="38">
        <f t="shared" si="86"/>
        <v>0</v>
      </c>
      <c r="M385" s="38">
        <f>M386</f>
        <v>6950274</v>
      </c>
      <c r="N385" s="55"/>
      <c r="O385" s="61"/>
    </row>
    <row r="386" spans="1:15" ht="15" customHeight="1">
      <c r="A386" s="79" t="s">
        <v>115</v>
      </c>
      <c r="B386" s="73" t="s">
        <v>149</v>
      </c>
      <c r="C386" s="38">
        <f>SUM(C387:C390)</f>
        <v>5480614</v>
      </c>
      <c r="D386" s="38">
        <f>SUM(D387:D390)</f>
        <v>0</v>
      </c>
      <c r="E386" s="38">
        <f>SUM(E387:E390)</f>
        <v>0</v>
      </c>
      <c r="F386" s="38">
        <f t="shared" si="81"/>
        <v>1469660</v>
      </c>
      <c r="G386" s="38">
        <f aca="true" t="shared" si="87" ref="G386:L386">SUM(G387:G390)</f>
        <v>0</v>
      </c>
      <c r="H386" s="38">
        <f t="shared" si="87"/>
        <v>0</v>
      </c>
      <c r="I386" s="38">
        <f t="shared" si="87"/>
        <v>0</v>
      </c>
      <c r="J386" s="38">
        <f t="shared" si="87"/>
        <v>1469660</v>
      </c>
      <c r="K386" s="38">
        <f t="shared" si="87"/>
        <v>1469660</v>
      </c>
      <c r="L386" s="38">
        <f t="shared" si="87"/>
        <v>0</v>
      </c>
      <c r="M386" s="38">
        <f>M388+M387+M390+M389</f>
        <v>6950274</v>
      </c>
      <c r="N386" s="55"/>
      <c r="O386" s="61"/>
    </row>
    <row r="387" spans="1:15" ht="51" hidden="1">
      <c r="A387" s="79"/>
      <c r="B387" s="78" t="s">
        <v>29</v>
      </c>
      <c r="C387" s="38">
        <f>2765058+2000000+700000-14784</f>
        <v>5450274</v>
      </c>
      <c r="D387" s="38"/>
      <c r="E387" s="38"/>
      <c r="F387" s="38">
        <f t="shared" si="81"/>
        <v>0</v>
      </c>
      <c r="G387" s="38"/>
      <c r="H387" s="38"/>
      <c r="I387" s="38"/>
      <c r="J387" s="38"/>
      <c r="K387" s="38"/>
      <c r="L387" s="38"/>
      <c r="M387" s="57">
        <f t="shared" si="82"/>
        <v>5450274</v>
      </c>
      <c r="N387" s="55"/>
      <c r="O387" s="61"/>
    </row>
    <row r="388" spans="1:15" ht="24" customHeight="1" hidden="1">
      <c r="A388" s="79"/>
      <c r="B388" s="73" t="s">
        <v>44</v>
      </c>
      <c r="C388" s="38"/>
      <c r="D388" s="38"/>
      <c r="E388" s="38"/>
      <c r="F388" s="38">
        <f t="shared" si="81"/>
        <v>0</v>
      </c>
      <c r="G388" s="38"/>
      <c r="H388" s="38"/>
      <c r="I388" s="38"/>
      <c r="J388" s="38"/>
      <c r="K388" s="38"/>
      <c r="L388" s="38"/>
      <c r="M388" s="57">
        <f t="shared" si="82"/>
        <v>0</v>
      </c>
      <c r="N388" s="55"/>
      <c r="O388" s="61"/>
    </row>
    <row r="389" spans="1:15" ht="24" customHeight="1" hidden="1">
      <c r="A389" s="79"/>
      <c r="B389" s="73" t="s">
        <v>21</v>
      </c>
      <c r="C389" s="38"/>
      <c r="D389" s="38"/>
      <c r="E389" s="38"/>
      <c r="F389" s="38">
        <f t="shared" si="81"/>
        <v>1469660</v>
      </c>
      <c r="G389" s="38"/>
      <c r="H389" s="38"/>
      <c r="I389" s="38"/>
      <c r="J389" s="38">
        <f>K389</f>
        <v>1469660</v>
      </c>
      <c r="K389" s="38">
        <v>1469660</v>
      </c>
      <c r="L389" s="38"/>
      <c r="M389" s="57">
        <f t="shared" si="82"/>
        <v>1469660</v>
      </c>
      <c r="N389" s="55"/>
      <c r="O389" s="61"/>
    </row>
    <row r="390" spans="1:15" ht="24" customHeight="1" hidden="1">
      <c r="A390" s="79"/>
      <c r="B390" s="73" t="s">
        <v>52</v>
      </c>
      <c r="C390" s="38">
        <v>30340</v>
      </c>
      <c r="D390" s="38"/>
      <c r="E390" s="38"/>
      <c r="F390" s="38">
        <f t="shared" si="81"/>
        <v>0</v>
      </c>
      <c r="G390" s="38"/>
      <c r="H390" s="38"/>
      <c r="I390" s="38"/>
      <c r="J390" s="38"/>
      <c r="K390" s="38"/>
      <c r="L390" s="38"/>
      <c r="M390" s="57">
        <f t="shared" si="82"/>
        <v>30340</v>
      </c>
      <c r="N390" s="55"/>
      <c r="O390" s="61"/>
    </row>
    <row r="391" spans="1:15" ht="51">
      <c r="A391" s="106" t="s">
        <v>366</v>
      </c>
      <c r="B391" s="105" t="s">
        <v>319</v>
      </c>
      <c r="C391" s="53">
        <f>C392+C394</f>
        <v>7916440</v>
      </c>
      <c r="D391" s="53">
        <f>D392+D394</f>
        <v>4956075</v>
      </c>
      <c r="E391" s="53">
        <f>E392+E394</f>
        <v>115093</v>
      </c>
      <c r="F391" s="53">
        <f>F393+F394+F196</f>
        <v>6891045</v>
      </c>
      <c r="G391" s="53">
        <f aca="true" t="shared" si="88" ref="G391:L391">G392+G394</f>
        <v>111449</v>
      </c>
      <c r="H391" s="53">
        <f t="shared" si="88"/>
        <v>44238</v>
      </c>
      <c r="I391" s="53">
        <f t="shared" si="88"/>
        <v>0</v>
      </c>
      <c r="J391" s="53">
        <f t="shared" si="88"/>
        <v>6779596</v>
      </c>
      <c r="K391" s="53">
        <f t="shared" si="88"/>
        <v>6758560</v>
      </c>
      <c r="L391" s="53">
        <f t="shared" si="88"/>
        <v>0</v>
      </c>
      <c r="M391" s="54">
        <f t="shared" si="82"/>
        <v>14807485</v>
      </c>
      <c r="N391" s="55"/>
      <c r="O391" s="61"/>
    </row>
    <row r="392" spans="1:15" ht="12.75">
      <c r="A392" s="43" t="s">
        <v>199</v>
      </c>
      <c r="B392" s="44" t="s">
        <v>200</v>
      </c>
      <c r="C392" s="37">
        <f>C393</f>
        <v>1724087</v>
      </c>
      <c r="D392" s="37">
        <f>D393</f>
        <v>1182236</v>
      </c>
      <c r="E392" s="37">
        <f>E393</f>
        <v>57302</v>
      </c>
      <c r="F392" s="38">
        <f aca="true" t="shared" si="89" ref="F392:F416">G392+J392</f>
        <v>0</v>
      </c>
      <c r="G392" s="37"/>
      <c r="H392" s="37"/>
      <c r="I392" s="37"/>
      <c r="J392" s="37"/>
      <c r="K392" s="37"/>
      <c r="L392" s="37"/>
      <c r="M392" s="57">
        <f t="shared" si="82"/>
        <v>1724087</v>
      </c>
      <c r="N392" s="55"/>
      <c r="O392" s="61"/>
    </row>
    <row r="393" spans="1:15" ht="12.75">
      <c r="A393" s="40" t="s">
        <v>76</v>
      </c>
      <c r="B393" s="60" t="s">
        <v>77</v>
      </c>
      <c r="C393" s="38">
        <f>1688299+13588+14700+7500</f>
        <v>1724087</v>
      </c>
      <c r="D393" s="38">
        <f>1174136+8900-800</f>
        <v>1182236</v>
      </c>
      <c r="E393" s="38">
        <v>57302</v>
      </c>
      <c r="F393" s="38">
        <f t="shared" si="89"/>
        <v>0</v>
      </c>
      <c r="G393" s="38"/>
      <c r="H393" s="38"/>
      <c r="I393" s="38"/>
      <c r="J393" s="38"/>
      <c r="K393" s="38"/>
      <c r="L393" s="38"/>
      <c r="M393" s="57">
        <f t="shared" si="82"/>
        <v>1724087</v>
      </c>
      <c r="N393" s="55"/>
      <c r="O393" s="61"/>
    </row>
    <row r="394" spans="1:15" ht="38.25">
      <c r="A394" s="40">
        <v>210000</v>
      </c>
      <c r="B394" s="62" t="s">
        <v>184</v>
      </c>
      <c r="C394" s="38">
        <f>C395+C398</f>
        <v>6192353</v>
      </c>
      <c r="D394" s="38">
        <f>D395+D398</f>
        <v>3773839</v>
      </c>
      <c r="E394" s="38">
        <f>E395+E398</f>
        <v>57791</v>
      </c>
      <c r="F394" s="38">
        <f t="shared" si="89"/>
        <v>6891045</v>
      </c>
      <c r="G394" s="38">
        <f aca="true" t="shared" si="90" ref="G394:L394">G395+G398</f>
        <v>111449</v>
      </c>
      <c r="H394" s="38">
        <f t="shared" si="90"/>
        <v>44238</v>
      </c>
      <c r="I394" s="38">
        <f t="shared" si="90"/>
        <v>0</v>
      </c>
      <c r="J394" s="38">
        <f t="shared" si="90"/>
        <v>6779596</v>
      </c>
      <c r="K394" s="38">
        <f t="shared" si="90"/>
        <v>6758560</v>
      </c>
      <c r="L394" s="38">
        <f t="shared" si="90"/>
        <v>0</v>
      </c>
      <c r="M394" s="57">
        <f t="shared" si="82"/>
        <v>13083398</v>
      </c>
      <c r="N394" s="55"/>
      <c r="O394" s="61"/>
    </row>
    <row r="395" spans="1:15" s="56" customFormat="1" ht="38.25">
      <c r="A395" s="40" t="s">
        <v>112</v>
      </c>
      <c r="B395" s="78" t="s">
        <v>61</v>
      </c>
      <c r="C395" s="38">
        <f>C396+C397</f>
        <v>3263537</v>
      </c>
      <c r="D395" s="38">
        <f>D396+D397</f>
        <v>1841400</v>
      </c>
      <c r="E395" s="38">
        <f>E396+E397</f>
        <v>10258</v>
      </c>
      <c r="F395" s="38">
        <f t="shared" si="89"/>
        <v>6768604</v>
      </c>
      <c r="G395" s="38">
        <f aca="true" t="shared" si="91" ref="G395:L395">G396+G397</f>
        <v>82583</v>
      </c>
      <c r="H395" s="38">
        <f t="shared" si="91"/>
        <v>30000</v>
      </c>
      <c r="I395" s="38">
        <f t="shared" si="91"/>
        <v>0</v>
      </c>
      <c r="J395" s="38">
        <f t="shared" si="91"/>
        <v>6686021</v>
      </c>
      <c r="K395" s="38">
        <f t="shared" si="91"/>
        <v>6686021</v>
      </c>
      <c r="L395" s="38">
        <f t="shared" si="91"/>
        <v>0</v>
      </c>
      <c r="M395" s="57">
        <f t="shared" si="82"/>
        <v>10032141</v>
      </c>
      <c r="N395" s="55"/>
      <c r="O395" s="55"/>
    </row>
    <row r="396" spans="1:15" s="59" customFormat="1" ht="79.5" customHeight="1">
      <c r="A396" s="40" t="s">
        <v>112</v>
      </c>
      <c r="B396" s="78" t="s">
        <v>12</v>
      </c>
      <c r="C396" s="38">
        <f>515000</f>
        <v>515000</v>
      </c>
      <c r="D396" s="38"/>
      <c r="E396" s="38"/>
      <c r="F396" s="38">
        <f t="shared" si="89"/>
        <v>6686021</v>
      </c>
      <c r="G396" s="38"/>
      <c r="H396" s="38"/>
      <c r="I396" s="38"/>
      <c r="J396" s="81">
        <f>6850000-5914820+5914820-163979</f>
        <v>6686021</v>
      </c>
      <c r="K396" s="81">
        <f>J396</f>
        <v>6686021</v>
      </c>
      <c r="L396" s="38"/>
      <c r="M396" s="57">
        <f t="shared" si="82"/>
        <v>7201021</v>
      </c>
      <c r="N396" s="55"/>
      <c r="O396" s="58"/>
    </row>
    <row r="397" spans="1:15" ht="81.75" customHeight="1">
      <c r="A397" s="40" t="s">
        <v>112</v>
      </c>
      <c r="B397" s="78" t="s">
        <v>244</v>
      </c>
      <c r="C397" s="38">
        <f>2740286+8251</f>
        <v>2748537</v>
      </c>
      <c r="D397" s="38">
        <v>1841400</v>
      </c>
      <c r="E397" s="38">
        <v>10258</v>
      </c>
      <c r="F397" s="38">
        <f t="shared" si="89"/>
        <v>82583</v>
      </c>
      <c r="G397" s="38">
        <v>82583</v>
      </c>
      <c r="H397" s="38">
        <v>30000</v>
      </c>
      <c r="I397" s="38"/>
      <c r="J397" s="38">
        <f>K397</f>
        <v>0</v>
      </c>
      <c r="K397" s="38">
        <f>2400000-1688154-320000-391846</f>
        <v>0</v>
      </c>
      <c r="L397" s="38"/>
      <c r="M397" s="57">
        <f t="shared" si="82"/>
        <v>2831120</v>
      </c>
      <c r="N397" s="55"/>
      <c r="O397" s="61"/>
    </row>
    <row r="398" spans="1:15" ht="25.5">
      <c r="A398" s="40">
        <v>210110</v>
      </c>
      <c r="B398" s="62" t="s">
        <v>113</v>
      </c>
      <c r="C398" s="38">
        <f>2874840+52612+1957+364-957</f>
        <v>2928816</v>
      </c>
      <c r="D398" s="38">
        <v>1932439</v>
      </c>
      <c r="E398" s="38">
        <v>47533</v>
      </c>
      <c r="F398" s="38">
        <f>G398+J398</f>
        <v>122441</v>
      </c>
      <c r="G398" s="38">
        <v>28866</v>
      </c>
      <c r="H398" s="38">
        <v>14238</v>
      </c>
      <c r="I398" s="38"/>
      <c r="J398" s="38">
        <v>93575</v>
      </c>
      <c r="K398" s="38">
        <v>72539</v>
      </c>
      <c r="L398" s="38"/>
      <c r="M398" s="57">
        <f t="shared" si="82"/>
        <v>3051257</v>
      </c>
      <c r="N398" s="55"/>
      <c r="O398" s="61"/>
    </row>
    <row r="399" spans="1:15" ht="25.5">
      <c r="A399" s="106" t="s">
        <v>378</v>
      </c>
      <c r="B399" s="117" t="s">
        <v>341</v>
      </c>
      <c r="C399" s="53">
        <f>C400+C402+C405+C415</f>
        <v>2746730</v>
      </c>
      <c r="D399" s="53">
        <f>D400+D402+D405+D415</f>
        <v>1432616</v>
      </c>
      <c r="E399" s="53">
        <f>E400+E402+E405+E415</f>
        <v>0</v>
      </c>
      <c r="F399" s="53">
        <f t="shared" si="89"/>
        <v>4309448</v>
      </c>
      <c r="G399" s="53">
        <f>G400+G402+G405+G415</f>
        <v>0</v>
      </c>
      <c r="H399" s="53">
        <f>H400+H402+H405+H415</f>
        <v>0</v>
      </c>
      <c r="I399" s="53">
        <f>I400+I402+I405+I415</f>
        <v>0</v>
      </c>
      <c r="J399" s="53">
        <f>J400+J402+J405+J415+J412</f>
        <v>4309448</v>
      </c>
      <c r="K399" s="53">
        <f>K400+K402+K405+K415+K412</f>
        <v>4309448</v>
      </c>
      <c r="L399" s="53">
        <f>L400+L402+L405+L415+L412</f>
        <v>0</v>
      </c>
      <c r="M399" s="54">
        <f t="shared" si="82"/>
        <v>7056178</v>
      </c>
      <c r="N399" s="55"/>
      <c r="O399" s="61"/>
    </row>
    <row r="400" spans="1:15" ht="12.75">
      <c r="A400" s="43" t="s">
        <v>199</v>
      </c>
      <c r="B400" s="44" t="s">
        <v>200</v>
      </c>
      <c r="C400" s="37">
        <f>C401</f>
        <v>2116835</v>
      </c>
      <c r="D400" s="37">
        <f>D401</f>
        <v>1432616</v>
      </c>
      <c r="E400" s="37">
        <f>E401</f>
        <v>0</v>
      </c>
      <c r="F400" s="38">
        <f t="shared" si="89"/>
        <v>30000</v>
      </c>
      <c r="G400" s="37">
        <f aca="true" t="shared" si="92" ref="G400:L400">G401</f>
        <v>0</v>
      </c>
      <c r="H400" s="37">
        <f t="shared" si="92"/>
        <v>0</v>
      </c>
      <c r="I400" s="37">
        <f t="shared" si="92"/>
        <v>0</v>
      </c>
      <c r="J400" s="37">
        <f t="shared" si="92"/>
        <v>30000</v>
      </c>
      <c r="K400" s="37">
        <f t="shared" si="92"/>
        <v>30000</v>
      </c>
      <c r="L400" s="37">
        <f t="shared" si="92"/>
        <v>0</v>
      </c>
      <c r="M400" s="57">
        <f t="shared" si="82"/>
        <v>2146835</v>
      </c>
      <c r="N400" s="55"/>
      <c r="O400" s="61"/>
    </row>
    <row r="401" spans="1:15" ht="12.75">
      <c r="A401" s="40" t="s">
        <v>76</v>
      </c>
      <c r="B401" s="60" t="s">
        <v>77</v>
      </c>
      <c r="C401" s="38">
        <f>2058642+23483+15541+12469+6700</f>
        <v>2116835</v>
      </c>
      <c r="D401" s="38">
        <f>1418666+11402+9148-6600</f>
        <v>1432616</v>
      </c>
      <c r="E401" s="37"/>
      <c r="F401" s="38">
        <f t="shared" si="89"/>
        <v>30000</v>
      </c>
      <c r="G401" s="38"/>
      <c r="H401" s="38"/>
      <c r="I401" s="38"/>
      <c r="J401" s="38">
        <v>30000</v>
      </c>
      <c r="K401" s="38">
        <f>J401</f>
        <v>30000</v>
      </c>
      <c r="L401" s="38"/>
      <c r="M401" s="57">
        <f t="shared" si="82"/>
        <v>2146835</v>
      </c>
      <c r="N401" s="55"/>
      <c r="O401" s="61"/>
    </row>
    <row r="402" spans="1:15" ht="12.75" hidden="1">
      <c r="A402" s="79" t="s">
        <v>211</v>
      </c>
      <c r="B402" s="36" t="s">
        <v>213</v>
      </c>
      <c r="C402" s="38">
        <f>C403</f>
        <v>0</v>
      </c>
      <c r="D402" s="38">
        <f>D403</f>
        <v>0</v>
      </c>
      <c r="E402" s="38">
        <f>E403</f>
        <v>0</v>
      </c>
      <c r="F402" s="38">
        <f t="shared" si="89"/>
        <v>0</v>
      </c>
      <c r="G402" s="38">
        <f aca="true" t="shared" si="93" ref="G402:L402">G403</f>
        <v>0</v>
      </c>
      <c r="H402" s="38">
        <f t="shared" si="93"/>
        <v>0</v>
      </c>
      <c r="I402" s="38">
        <f t="shared" si="93"/>
        <v>0</v>
      </c>
      <c r="J402" s="38">
        <f t="shared" si="93"/>
        <v>0</v>
      </c>
      <c r="K402" s="38">
        <f t="shared" si="93"/>
        <v>0</v>
      </c>
      <c r="L402" s="38">
        <f t="shared" si="93"/>
        <v>0</v>
      </c>
      <c r="M402" s="57">
        <f t="shared" si="82"/>
        <v>0</v>
      </c>
      <c r="N402" s="55"/>
      <c r="O402" s="61"/>
    </row>
    <row r="403" spans="1:15" ht="178.5" hidden="1">
      <c r="A403" s="79" t="s">
        <v>349</v>
      </c>
      <c r="B403" s="80" t="s">
        <v>400</v>
      </c>
      <c r="C403" s="38"/>
      <c r="D403" s="38"/>
      <c r="E403" s="38"/>
      <c r="F403" s="38">
        <f t="shared" si="89"/>
        <v>0</v>
      </c>
      <c r="G403" s="38"/>
      <c r="H403" s="38"/>
      <c r="I403" s="38"/>
      <c r="J403" s="38"/>
      <c r="K403" s="38"/>
      <c r="L403" s="38"/>
      <c r="M403" s="57">
        <f t="shared" si="82"/>
        <v>0</v>
      </c>
      <c r="N403" s="55"/>
      <c r="O403" s="61"/>
    </row>
    <row r="404" spans="1:15" ht="236.25" customHeight="1" hidden="1">
      <c r="A404" s="40"/>
      <c r="B404" s="80" t="s">
        <v>401</v>
      </c>
      <c r="C404" s="38">
        <f>C403</f>
        <v>0</v>
      </c>
      <c r="D404" s="38">
        <f>D403</f>
        <v>0</v>
      </c>
      <c r="E404" s="38">
        <f>E403</f>
        <v>0</v>
      </c>
      <c r="F404" s="38">
        <f t="shared" si="89"/>
        <v>0</v>
      </c>
      <c r="G404" s="38">
        <f aca="true" t="shared" si="94" ref="G404:L404">G403</f>
        <v>0</v>
      </c>
      <c r="H404" s="38">
        <f t="shared" si="94"/>
        <v>0</v>
      </c>
      <c r="I404" s="38">
        <f t="shared" si="94"/>
        <v>0</v>
      </c>
      <c r="J404" s="38">
        <f t="shared" si="94"/>
        <v>0</v>
      </c>
      <c r="K404" s="38">
        <f t="shared" si="94"/>
        <v>0</v>
      </c>
      <c r="L404" s="38">
        <f t="shared" si="94"/>
        <v>0</v>
      </c>
      <c r="M404" s="57">
        <f t="shared" si="82"/>
        <v>0</v>
      </c>
      <c r="N404" s="55"/>
      <c r="O404" s="61"/>
    </row>
    <row r="405" spans="1:15" ht="12.75">
      <c r="A405" s="40" t="s">
        <v>203</v>
      </c>
      <c r="B405" s="60" t="s">
        <v>110</v>
      </c>
      <c r="C405" s="38">
        <f>C406+C411</f>
        <v>0</v>
      </c>
      <c r="D405" s="38">
        <f>D406+D411</f>
        <v>0</v>
      </c>
      <c r="E405" s="38">
        <f>E406+E411</f>
        <v>0</v>
      </c>
      <c r="F405" s="38">
        <f t="shared" si="89"/>
        <v>4279448</v>
      </c>
      <c r="G405" s="38">
        <f aca="true" t="shared" si="95" ref="G405:L405">G406+G411</f>
        <v>0</v>
      </c>
      <c r="H405" s="38">
        <f t="shared" si="95"/>
        <v>0</v>
      </c>
      <c r="I405" s="38">
        <f t="shared" si="95"/>
        <v>0</v>
      </c>
      <c r="J405" s="38">
        <f t="shared" si="95"/>
        <v>4279448</v>
      </c>
      <c r="K405" s="38">
        <f t="shared" si="95"/>
        <v>4279448</v>
      </c>
      <c r="L405" s="38">
        <f t="shared" si="95"/>
        <v>0</v>
      </c>
      <c r="M405" s="57">
        <f t="shared" si="82"/>
        <v>4279448</v>
      </c>
      <c r="N405" s="55"/>
      <c r="O405" s="61"/>
    </row>
    <row r="406" spans="1:15" ht="13.5" customHeight="1">
      <c r="A406" s="40" t="s">
        <v>171</v>
      </c>
      <c r="B406" s="36" t="s">
        <v>172</v>
      </c>
      <c r="C406" s="38"/>
      <c r="D406" s="38"/>
      <c r="E406" s="38"/>
      <c r="F406" s="38">
        <f t="shared" si="89"/>
        <v>1624545</v>
      </c>
      <c r="G406" s="38"/>
      <c r="H406" s="38"/>
      <c r="I406" s="38"/>
      <c r="J406" s="38">
        <f>K406</f>
        <v>1624545</v>
      </c>
      <c r="K406" s="81">
        <f>2346880+53807+7295589-1000000+18318-2493202-4356847-130000-110000</f>
        <v>1624545</v>
      </c>
      <c r="L406" s="38">
        <f>12000000-4599933-1089214-34759-299843+2000+98000-733147-3940000-867383-300000-150000-85721</f>
        <v>0</v>
      </c>
      <c r="M406" s="57">
        <f t="shared" si="82"/>
        <v>1624545</v>
      </c>
      <c r="N406" s="55"/>
      <c r="O406" s="61"/>
    </row>
    <row r="407" spans="1:15" ht="45" customHeight="1" hidden="1">
      <c r="A407" s="40"/>
      <c r="B407" s="100" t="s">
        <v>308</v>
      </c>
      <c r="C407" s="38"/>
      <c r="D407" s="38"/>
      <c r="E407" s="38"/>
      <c r="F407" s="38">
        <f t="shared" si="89"/>
        <v>0</v>
      </c>
      <c r="G407" s="38"/>
      <c r="H407" s="38"/>
      <c r="I407" s="38"/>
      <c r="J407" s="38"/>
      <c r="K407" s="81">
        <f>J407</f>
        <v>0</v>
      </c>
      <c r="L407" s="38"/>
      <c r="M407" s="57">
        <f t="shared" si="82"/>
        <v>0</v>
      </c>
      <c r="N407" s="55"/>
      <c r="O407" s="61"/>
    </row>
    <row r="408" spans="1:15" ht="204" hidden="1">
      <c r="A408" s="40" t="s">
        <v>265</v>
      </c>
      <c r="B408" s="73" t="s">
        <v>246</v>
      </c>
      <c r="C408" s="38"/>
      <c r="D408" s="38"/>
      <c r="E408" s="38"/>
      <c r="F408" s="38">
        <f t="shared" si="89"/>
        <v>0</v>
      </c>
      <c r="G408" s="38"/>
      <c r="H408" s="38"/>
      <c r="I408" s="38"/>
      <c r="J408" s="38"/>
      <c r="K408" s="81"/>
      <c r="L408" s="38"/>
      <c r="M408" s="57">
        <f t="shared" si="82"/>
        <v>0</v>
      </c>
      <c r="N408" s="55"/>
      <c r="O408" s="61"/>
    </row>
    <row r="409" spans="1:15" ht="25.5" hidden="1">
      <c r="A409" s="40"/>
      <c r="B409" s="36" t="s">
        <v>219</v>
      </c>
      <c r="C409" s="38"/>
      <c r="D409" s="38"/>
      <c r="E409" s="38"/>
      <c r="F409" s="38">
        <f t="shared" si="89"/>
        <v>0</v>
      </c>
      <c r="G409" s="38"/>
      <c r="H409" s="38"/>
      <c r="I409" s="38"/>
      <c r="J409" s="38"/>
      <c r="K409" s="81">
        <f>J409</f>
        <v>0</v>
      </c>
      <c r="L409" s="38"/>
      <c r="M409" s="57">
        <f t="shared" si="82"/>
        <v>0</v>
      </c>
      <c r="N409" s="55"/>
      <c r="O409" s="61"/>
    </row>
    <row r="410" spans="1:15" ht="51" hidden="1">
      <c r="A410" s="40"/>
      <c r="B410" s="80" t="s">
        <v>348</v>
      </c>
      <c r="C410" s="38"/>
      <c r="D410" s="38"/>
      <c r="E410" s="38"/>
      <c r="F410" s="38">
        <f t="shared" si="89"/>
        <v>0</v>
      </c>
      <c r="G410" s="38"/>
      <c r="H410" s="38"/>
      <c r="I410" s="38"/>
      <c r="J410" s="38"/>
      <c r="K410" s="81">
        <f>J410</f>
        <v>0</v>
      </c>
      <c r="L410" s="38">
        <f>K410</f>
        <v>0</v>
      </c>
      <c r="M410" s="57">
        <f t="shared" si="82"/>
        <v>0</v>
      </c>
      <c r="N410" s="55"/>
      <c r="O410" s="61"/>
    </row>
    <row r="411" spans="1:15" ht="63.75">
      <c r="A411" s="40" t="s">
        <v>186</v>
      </c>
      <c r="B411" s="60" t="s">
        <v>187</v>
      </c>
      <c r="C411" s="38"/>
      <c r="D411" s="38"/>
      <c r="E411" s="38"/>
      <c r="F411" s="38">
        <f t="shared" si="89"/>
        <v>2654903</v>
      </c>
      <c r="G411" s="38"/>
      <c r="H411" s="38"/>
      <c r="I411" s="38"/>
      <c r="J411" s="38">
        <f>K411</f>
        <v>2654903</v>
      </c>
      <c r="K411" s="81">
        <f>1348330+10944+9650880-6114142+125735-1008119+318576-25000+3799+24380+89365-72845-197000-1500000</f>
        <v>2654903</v>
      </c>
      <c r="L411" s="38"/>
      <c r="M411" s="57">
        <f t="shared" si="82"/>
        <v>2654903</v>
      </c>
      <c r="N411" s="55"/>
      <c r="O411" s="61"/>
    </row>
    <row r="412" spans="1:15" ht="38.25" hidden="1">
      <c r="A412" s="40">
        <v>210000</v>
      </c>
      <c r="B412" s="62" t="s">
        <v>184</v>
      </c>
      <c r="C412" s="38"/>
      <c r="D412" s="38"/>
      <c r="E412" s="38"/>
      <c r="F412" s="38">
        <f t="shared" si="89"/>
        <v>0</v>
      </c>
      <c r="G412" s="38"/>
      <c r="H412" s="38"/>
      <c r="I412" s="38"/>
      <c r="J412" s="38">
        <f>J413</f>
        <v>0</v>
      </c>
      <c r="K412" s="38">
        <f>K413</f>
        <v>0</v>
      </c>
      <c r="L412" s="38">
        <f>L413</f>
        <v>0</v>
      </c>
      <c r="M412" s="57">
        <f t="shared" si="82"/>
        <v>0</v>
      </c>
      <c r="N412" s="55"/>
      <c r="O412" s="61"/>
    </row>
    <row r="413" spans="1:15" ht="38.25" hidden="1">
      <c r="A413" s="40" t="s">
        <v>112</v>
      </c>
      <c r="B413" s="78" t="s">
        <v>61</v>
      </c>
      <c r="C413" s="38"/>
      <c r="D413" s="38"/>
      <c r="E413" s="38"/>
      <c r="F413" s="38">
        <f t="shared" si="89"/>
        <v>0</v>
      </c>
      <c r="G413" s="38"/>
      <c r="H413" s="38"/>
      <c r="I413" s="38"/>
      <c r="J413" s="141">
        <f>20000000-13278839-34410+13313249-20000000</f>
        <v>0</v>
      </c>
      <c r="K413" s="38">
        <f>J413</f>
        <v>0</v>
      </c>
      <c r="L413" s="38">
        <f>K413</f>
        <v>0</v>
      </c>
      <c r="M413" s="57">
        <f t="shared" si="82"/>
        <v>0</v>
      </c>
      <c r="N413" s="55"/>
      <c r="O413" s="61"/>
    </row>
    <row r="414" spans="1:15" ht="27.75" customHeight="1">
      <c r="A414" s="40" t="s">
        <v>208</v>
      </c>
      <c r="B414" s="62" t="s">
        <v>209</v>
      </c>
      <c r="C414" s="38">
        <f>C415</f>
        <v>629895</v>
      </c>
      <c r="D414" s="38"/>
      <c r="E414" s="38"/>
      <c r="F414" s="38">
        <f t="shared" si="89"/>
        <v>0</v>
      </c>
      <c r="G414" s="38"/>
      <c r="H414" s="38"/>
      <c r="I414" s="38"/>
      <c r="J414" s="38"/>
      <c r="K414" s="38"/>
      <c r="L414" s="38"/>
      <c r="M414" s="38">
        <f aca="true" t="shared" si="96" ref="D414:M415">M415</f>
        <v>629895</v>
      </c>
      <c r="N414" s="55"/>
      <c r="O414" s="61"/>
    </row>
    <row r="415" spans="1:15" ht="12.75">
      <c r="A415" s="79" t="s">
        <v>115</v>
      </c>
      <c r="B415" s="73" t="s">
        <v>149</v>
      </c>
      <c r="C415" s="38">
        <f>C416</f>
        <v>629895</v>
      </c>
      <c r="D415" s="38">
        <f t="shared" si="96"/>
        <v>0</v>
      </c>
      <c r="E415" s="38">
        <f t="shared" si="96"/>
        <v>0</v>
      </c>
      <c r="F415" s="38">
        <f t="shared" si="89"/>
        <v>0</v>
      </c>
      <c r="G415" s="38">
        <f t="shared" si="96"/>
        <v>0</v>
      </c>
      <c r="H415" s="38">
        <f t="shared" si="96"/>
        <v>0</v>
      </c>
      <c r="I415" s="38">
        <f t="shared" si="96"/>
        <v>0</v>
      </c>
      <c r="J415" s="38">
        <f t="shared" si="96"/>
        <v>0</v>
      </c>
      <c r="K415" s="38">
        <f t="shared" si="96"/>
        <v>0</v>
      </c>
      <c r="L415" s="38">
        <f t="shared" si="96"/>
        <v>0</v>
      </c>
      <c r="M415" s="38">
        <f t="shared" si="96"/>
        <v>629895</v>
      </c>
      <c r="N415" s="55"/>
      <c r="O415" s="61"/>
    </row>
    <row r="416" spans="1:15" ht="65.25" customHeight="1" hidden="1">
      <c r="A416" s="40"/>
      <c r="B416" s="80" t="s">
        <v>30</v>
      </c>
      <c r="C416" s="38">
        <f>34410+48174+103230+215081+130000+99000</f>
        <v>629895</v>
      </c>
      <c r="D416" s="38"/>
      <c r="E416" s="38"/>
      <c r="F416" s="38">
        <f t="shared" si="89"/>
        <v>0</v>
      </c>
      <c r="G416" s="38"/>
      <c r="H416" s="38"/>
      <c r="I416" s="38"/>
      <c r="J416" s="38">
        <f>K416</f>
        <v>0</v>
      </c>
      <c r="K416" s="38"/>
      <c r="L416" s="38"/>
      <c r="M416" s="57">
        <f>C416+F416</f>
        <v>629895</v>
      </c>
      <c r="N416" s="55"/>
      <c r="O416" s="61"/>
    </row>
    <row r="417" spans="1:14" s="59" customFormat="1" ht="36.75" customHeight="1">
      <c r="A417" s="106" t="s">
        <v>376</v>
      </c>
      <c r="B417" s="108" t="s">
        <v>315</v>
      </c>
      <c r="C417" s="53">
        <f>C418+C426+C422+C424+C420</f>
        <v>17280482</v>
      </c>
      <c r="D417" s="53">
        <f>D418+D426+D422+D424</f>
        <v>3270651</v>
      </c>
      <c r="E417" s="53">
        <f>E418+E426+E422+E424</f>
        <v>102037</v>
      </c>
      <c r="F417" s="53">
        <f aca="true" t="shared" si="97" ref="F417:L417">F418+F426+F422+F424</f>
        <v>0</v>
      </c>
      <c r="G417" s="53">
        <f t="shared" si="97"/>
        <v>0</v>
      </c>
      <c r="H417" s="53">
        <f t="shared" si="97"/>
        <v>0</v>
      </c>
      <c r="I417" s="53">
        <f t="shared" si="97"/>
        <v>0</v>
      </c>
      <c r="J417" s="53">
        <f t="shared" si="97"/>
        <v>0</v>
      </c>
      <c r="K417" s="53">
        <f t="shared" si="97"/>
        <v>0</v>
      </c>
      <c r="L417" s="53">
        <f t="shared" si="97"/>
        <v>0</v>
      </c>
      <c r="M417" s="54">
        <f t="shared" si="82"/>
        <v>17280482</v>
      </c>
      <c r="N417" s="55"/>
    </row>
    <row r="418" spans="1:14" s="59" customFormat="1" ht="12.75">
      <c r="A418" s="43" t="s">
        <v>199</v>
      </c>
      <c r="B418" s="44" t="s">
        <v>200</v>
      </c>
      <c r="C418" s="37">
        <f>C419</f>
        <v>4955229</v>
      </c>
      <c r="D418" s="37">
        <f>D419</f>
        <v>3270651</v>
      </c>
      <c r="E418" s="37">
        <f>E419</f>
        <v>102037</v>
      </c>
      <c r="F418" s="38">
        <f>F419</f>
        <v>0</v>
      </c>
      <c r="G418" s="38">
        <f aca="true" t="shared" si="98" ref="G418:L418">G419</f>
        <v>0</v>
      </c>
      <c r="H418" s="38">
        <f t="shared" si="98"/>
        <v>0</v>
      </c>
      <c r="I418" s="38">
        <f t="shared" si="98"/>
        <v>0</v>
      </c>
      <c r="J418" s="38">
        <f t="shared" si="98"/>
        <v>0</v>
      </c>
      <c r="K418" s="38">
        <f t="shared" si="98"/>
        <v>0</v>
      </c>
      <c r="L418" s="38">
        <f t="shared" si="98"/>
        <v>0</v>
      </c>
      <c r="M418" s="57">
        <f t="shared" si="82"/>
        <v>4955229</v>
      </c>
      <c r="N418" s="55"/>
    </row>
    <row r="419" spans="1:14" s="59" customFormat="1" ht="12.75">
      <c r="A419" s="40" t="s">
        <v>76</v>
      </c>
      <c r="B419" s="60" t="s">
        <v>77</v>
      </c>
      <c r="C419" s="38">
        <f>5171847+26348-8178-33972+2068+27085-125490-23650+100441+20686+56-204100+2088</f>
        <v>4955229</v>
      </c>
      <c r="D419" s="38">
        <f>3525594-6000-24924+11402-99416-23650+74367-31548-4774-150400</f>
        <v>3270651</v>
      </c>
      <c r="E419" s="38">
        <v>102037</v>
      </c>
      <c r="F419" s="38">
        <f aca="true" t="shared" si="99" ref="F419:F429">G419+J419</f>
        <v>0</v>
      </c>
      <c r="G419" s="38"/>
      <c r="H419" s="38"/>
      <c r="I419" s="38"/>
      <c r="J419" s="38">
        <f>K419</f>
        <v>0</v>
      </c>
      <c r="K419" s="38"/>
      <c r="L419" s="38"/>
      <c r="M419" s="57">
        <f t="shared" si="82"/>
        <v>4955229</v>
      </c>
      <c r="N419" s="55"/>
    </row>
    <row r="420" spans="1:14" s="59" customFormat="1" ht="12.75">
      <c r="A420" s="40" t="s">
        <v>217</v>
      </c>
      <c r="B420" s="36" t="s">
        <v>218</v>
      </c>
      <c r="C420" s="38">
        <f>13874400-1601400</f>
        <v>12273000</v>
      </c>
      <c r="D420" s="38">
        <f>D421</f>
        <v>0</v>
      </c>
      <c r="E420" s="38">
        <f>E421</f>
        <v>0</v>
      </c>
      <c r="F420" s="38">
        <f t="shared" si="99"/>
        <v>0</v>
      </c>
      <c r="G420" s="38"/>
      <c r="H420" s="38"/>
      <c r="I420" s="38"/>
      <c r="J420" s="38"/>
      <c r="K420" s="38"/>
      <c r="L420" s="38"/>
      <c r="M420" s="57">
        <f t="shared" si="82"/>
        <v>12273000</v>
      </c>
      <c r="N420" s="55"/>
    </row>
    <row r="421" spans="1:15" ht="27.75" customHeight="1" hidden="1">
      <c r="A421" s="40" t="s">
        <v>175</v>
      </c>
      <c r="B421" s="62" t="s">
        <v>169</v>
      </c>
      <c r="C421" s="38"/>
      <c r="D421" s="38"/>
      <c r="E421" s="38"/>
      <c r="F421" s="38">
        <f t="shared" si="99"/>
        <v>0</v>
      </c>
      <c r="G421" s="38"/>
      <c r="H421" s="38"/>
      <c r="I421" s="38"/>
      <c r="J421" s="38"/>
      <c r="K421" s="38"/>
      <c r="L421" s="38"/>
      <c r="M421" s="57">
        <f t="shared" si="82"/>
        <v>0</v>
      </c>
      <c r="N421" s="55"/>
      <c r="O421" s="61"/>
    </row>
    <row r="422" spans="1:15" ht="12.75" hidden="1">
      <c r="A422" s="9" t="s">
        <v>206</v>
      </c>
      <c r="B422" s="4" t="s">
        <v>210</v>
      </c>
      <c r="C422" s="38">
        <f>C423</f>
        <v>0</v>
      </c>
      <c r="D422" s="38">
        <f>D423</f>
        <v>0</v>
      </c>
      <c r="E422" s="38">
        <f>E423</f>
        <v>0</v>
      </c>
      <c r="F422" s="38">
        <f>G422+J422</f>
        <v>0</v>
      </c>
      <c r="G422" s="38">
        <f aca="true" t="shared" si="100" ref="G422:L422">G423</f>
        <v>0</v>
      </c>
      <c r="H422" s="38">
        <f t="shared" si="100"/>
        <v>0</v>
      </c>
      <c r="I422" s="38">
        <f t="shared" si="100"/>
        <v>0</v>
      </c>
      <c r="J422" s="38">
        <f t="shared" si="100"/>
        <v>0</v>
      </c>
      <c r="K422" s="38">
        <f t="shared" si="100"/>
        <v>0</v>
      </c>
      <c r="L422" s="38">
        <f t="shared" si="100"/>
        <v>0</v>
      </c>
      <c r="M422" s="57">
        <f t="shared" si="82"/>
        <v>0</v>
      </c>
      <c r="N422" s="55"/>
      <c r="O422" s="61"/>
    </row>
    <row r="423" spans="1:15" ht="63.75" hidden="1">
      <c r="A423" s="9" t="s">
        <v>114</v>
      </c>
      <c r="B423" s="78" t="s">
        <v>294</v>
      </c>
      <c r="C423" s="38"/>
      <c r="D423" s="38"/>
      <c r="E423" s="38"/>
      <c r="F423" s="38">
        <f>G423+J423</f>
        <v>0</v>
      </c>
      <c r="G423" s="38"/>
      <c r="H423" s="38"/>
      <c r="I423" s="38"/>
      <c r="J423" s="38"/>
      <c r="K423" s="38"/>
      <c r="L423" s="38"/>
      <c r="M423" s="57">
        <f t="shared" si="82"/>
        <v>0</v>
      </c>
      <c r="N423" s="55"/>
      <c r="O423" s="61"/>
    </row>
    <row r="424" spans="1:15" ht="38.25" hidden="1">
      <c r="A424" s="9" t="s">
        <v>402</v>
      </c>
      <c r="B424" s="62" t="s">
        <v>184</v>
      </c>
      <c r="C424" s="38">
        <f>C425</f>
        <v>0</v>
      </c>
      <c r="D424" s="38"/>
      <c r="E424" s="38"/>
      <c r="F424" s="38">
        <f>F425</f>
        <v>0</v>
      </c>
      <c r="G424" s="38"/>
      <c r="H424" s="38"/>
      <c r="I424" s="38"/>
      <c r="J424" s="38">
        <f>J425</f>
        <v>0</v>
      </c>
      <c r="K424" s="38">
        <f>K425</f>
        <v>0</v>
      </c>
      <c r="L424" s="38"/>
      <c r="M424" s="57">
        <f t="shared" si="82"/>
        <v>0</v>
      </c>
      <c r="N424" s="55"/>
      <c r="O424" s="61"/>
    </row>
    <row r="425" spans="1:15" ht="38.25" hidden="1">
      <c r="A425" s="9" t="s">
        <v>112</v>
      </c>
      <c r="B425" s="78" t="s">
        <v>61</v>
      </c>
      <c r="C425" s="38"/>
      <c r="D425" s="38"/>
      <c r="E425" s="38"/>
      <c r="F425" s="38">
        <f>G425+J425</f>
        <v>0</v>
      </c>
      <c r="G425" s="38"/>
      <c r="H425" s="38"/>
      <c r="I425" s="38"/>
      <c r="J425" s="38">
        <f>K425</f>
        <v>0</v>
      </c>
      <c r="K425" s="38"/>
      <c r="L425" s="38"/>
      <c r="M425" s="57">
        <f t="shared" si="82"/>
        <v>0</v>
      </c>
      <c r="N425" s="55"/>
      <c r="O425" s="61"/>
    </row>
    <row r="426" spans="1:15" ht="25.5">
      <c r="A426" s="43" t="s">
        <v>208</v>
      </c>
      <c r="B426" s="44" t="s">
        <v>209</v>
      </c>
      <c r="C426" s="37">
        <f>C427</f>
        <v>52253</v>
      </c>
      <c r="D426" s="37">
        <f>D427</f>
        <v>0</v>
      </c>
      <c r="E426" s="37">
        <f>E427</f>
        <v>0</v>
      </c>
      <c r="F426" s="37">
        <f t="shared" si="99"/>
        <v>0</v>
      </c>
      <c r="G426" s="37"/>
      <c r="H426" s="37"/>
      <c r="I426" s="37"/>
      <c r="J426" s="37"/>
      <c r="K426" s="37"/>
      <c r="L426" s="37"/>
      <c r="M426" s="57">
        <f aca="true" t="shared" si="101" ref="M426:M433">C426+F426</f>
        <v>52253</v>
      </c>
      <c r="N426" s="55"/>
      <c r="O426" s="61"/>
    </row>
    <row r="427" spans="1:15" ht="12.75">
      <c r="A427" s="43" t="s">
        <v>115</v>
      </c>
      <c r="B427" s="44" t="s">
        <v>149</v>
      </c>
      <c r="C427" s="121">
        <f>C428</f>
        <v>52253</v>
      </c>
      <c r="D427" s="37"/>
      <c r="E427" s="37"/>
      <c r="F427" s="37">
        <f t="shared" si="99"/>
        <v>0</v>
      </c>
      <c r="G427" s="37"/>
      <c r="H427" s="37"/>
      <c r="I427" s="37"/>
      <c r="J427" s="37"/>
      <c r="K427" s="37"/>
      <c r="L427" s="37"/>
      <c r="M427" s="57">
        <f t="shared" si="101"/>
        <v>52253</v>
      </c>
      <c r="N427" s="55"/>
      <c r="O427" s="61"/>
    </row>
    <row r="428" spans="1:15" ht="63.75" hidden="1">
      <c r="A428" s="43"/>
      <c r="B428" s="77" t="s">
        <v>390</v>
      </c>
      <c r="C428" s="38">
        <f>42000+19253-9000</f>
        <v>52253</v>
      </c>
      <c r="D428" s="37"/>
      <c r="E428" s="37"/>
      <c r="F428" s="37"/>
      <c r="G428" s="37"/>
      <c r="H428" s="37"/>
      <c r="I428" s="37"/>
      <c r="J428" s="37"/>
      <c r="K428" s="37"/>
      <c r="L428" s="37"/>
      <c r="M428" s="57">
        <f t="shared" si="101"/>
        <v>52253</v>
      </c>
      <c r="N428" s="55"/>
      <c r="O428" s="61"/>
    </row>
    <row r="429" spans="1:15" ht="26.25" customHeight="1">
      <c r="A429" s="106" t="s">
        <v>377</v>
      </c>
      <c r="B429" s="108" t="s">
        <v>315</v>
      </c>
      <c r="C429" s="53">
        <f>C430</f>
        <v>200174000</v>
      </c>
      <c r="D429" s="53">
        <f>D430</f>
        <v>0</v>
      </c>
      <c r="E429" s="53">
        <f>E430</f>
        <v>0</v>
      </c>
      <c r="F429" s="53">
        <f t="shared" si="99"/>
        <v>760407</v>
      </c>
      <c r="G429" s="53">
        <f aca="true" t="shared" si="102" ref="G429:L429">G430</f>
        <v>0</v>
      </c>
      <c r="H429" s="53">
        <f t="shared" si="102"/>
        <v>0</v>
      </c>
      <c r="I429" s="53">
        <f t="shared" si="102"/>
        <v>0</v>
      </c>
      <c r="J429" s="53">
        <f t="shared" si="102"/>
        <v>760407</v>
      </c>
      <c r="K429" s="53">
        <f t="shared" si="102"/>
        <v>760407</v>
      </c>
      <c r="L429" s="53">
        <f t="shared" si="102"/>
        <v>0</v>
      </c>
      <c r="M429" s="54">
        <f t="shared" si="101"/>
        <v>200934407</v>
      </c>
      <c r="N429" s="55"/>
      <c r="O429" s="61"/>
    </row>
    <row r="430" spans="1:15" ht="25.5">
      <c r="A430" s="43" t="s">
        <v>208</v>
      </c>
      <c r="B430" s="44" t="s">
        <v>209</v>
      </c>
      <c r="C430" s="37">
        <f>C431+C432+C433</f>
        <v>200174000</v>
      </c>
      <c r="D430" s="37">
        <f aca="true" t="shared" si="103" ref="D430:L430">D431+D432+D433</f>
        <v>0</v>
      </c>
      <c r="E430" s="37">
        <f t="shared" si="103"/>
        <v>0</v>
      </c>
      <c r="F430" s="37">
        <f t="shared" si="103"/>
        <v>760407</v>
      </c>
      <c r="G430" s="37">
        <f t="shared" si="103"/>
        <v>0</v>
      </c>
      <c r="H430" s="37">
        <f t="shared" si="103"/>
        <v>0</v>
      </c>
      <c r="I430" s="37">
        <f t="shared" si="103"/>
        <v>0</v>
      </c>
      <c r="J430" s="37">
        <f t="shared" si="103"/>
        <v>760407</v>
      </c>
      <c r="K430" s="37">
        <f t="shared" si="103"/>
        <v>760407</v>
      </c>
      <c r="L430" s="37">
        <f t="shared" si="103"/>
        <v>0</v>
      </c>
      <c r="M430" s="57">
        <f t="shared" si="101"/>
        <v>200934407</v>
      </c>
      <c r="N430" s="55"/>
      <c r="O430" s="61"/>
    </row>
    <row r="431" spans="1:15" s="56" customFormat="1" ht="140.25">
      <c r="A431" s="93" t="s">
        <v>117</v>
      </c>
      <c r="B431" s="77" t="s">
        <v>300</v>
      </c>
      <c r="C431" s="37">
        <v>200174000</v>
      </c>
      <c r="D431" s="37"/>
      <c r="E431" s="37"/>
      <c r="F431" s="37"/>
      <c r="G431" s="37"/>
      <c r="H431" s="37"/>
      <c r="I431" s="37"/>
      <c r="J431" s="37"/>
      <c r="K431" s="37"/>
      <c r="L431" s="37"/>
      <c r="M431" s="57">
        <f t="shared" si="101"/>
        <v>200174000</v>
      </c>
      <c r="N431" s="55"/>
      <c r="O431" s="55"/>
    </row>
    <row r="432" spans="1:15" s="59" customFormat="1" ht="51" hidden="1">
      <c r="A432" s="40" t="s">
        <v>264</v>
      </c>
      <c r="B432" s="73" t="s">
        <v>343</v>
      </c>
      <c r="C432" s="38"/>
      <c r="D432" s="38"/>
      <c r="E432" s="38"/>
      <c r="F432" s="38">
        <f>G432+J432</f>
        <v>0</v>
      </c>
      <c r="G432" s="38"/>
      <c r="H432" s="38"/>
      <c r="I432" s="38"/>
      <c r="J432" s="38">
        <f>K432</f>
        <v>0</v>
      </c>
      <c r="K432" s="38">
        <f>2730600+36104-2568000-140527-58177</f>
        <v>0</v>
      </c>
      <c r="L432" s="38">
        <f>K432</f>
        <v>0</v>
      </c>
      <c r="M432" s="57">
        <f t="shared" si="101"/>
        <v>0</v>
      </c>
      <c r="N432" s="55"/>
      <c r="O432" s="58"/>
    </row>
    <row r="433" spans="1:15" s="59" customFormat="1" ht="12.75">
      <c r="A433" s="79" t="s">
        <v>43</v>
      </c>
      <c r="B433" s="73" t="s">
        <v>42</v>
      </c>
      <c r="C433" s="38"/>
      <c r="D433" s="38"/>
      <c r="E433" s="38"/>
      <c r="F433" s="38">
        <f>J433</f>
        <v>760407</v>
      </c>
      <c r="G433" s="38"/>
      <c r="H433" s="38"/>
      <c r="I433" s="38"/>
      <c r="J433" s="38">
        <f>K433</f>
        <v>760407</v>
      </c>
      <c r="K433" s="38">
        <f>620407+140000</f>
        <v>760407</v>
      </c>
      <c r="L433" s="38"/>
      <c r="M433" s="57">
        <f t="shared" si="101"/>
        <v>760407</v>
      </c>
      <c r="N433" s="55"/>
      <c r="O433" s="58"/>
    </row>
    <row r="434" spans="1:14" s="19" customFormat="1" ht="41.25" customHeight="1">
      <c r="A434" s="18" t="s">
        <v>354</v>
      </c>
      <c r="B434" s="20" t="s">
        <v>325</v>
      </c>
      <c r="C434" s="31">
        <f>C435+C437+C441+C443</f>
        <v>5111484</v>
      </c>
      <c r="D434" s="31">
        <f aca="true" t="shared" si="104" ref="D434:L434">D435+D437+D441+D443</f>
        <v>2269171</v>
      </c>
      <c r="E434" s="31">
        <f t="shared" si="104"/>
        <v>420035</v>
      </c>
      <c r="F434" s="31">
        <f>F435+F437+F441+F443+F439</f>
        <v>175504</v>
      </c>
      <c r="G434" s="31">
        <f t="shared" si="104"/>
        <v>63492</v>
      </c>
      <c r="H434" s="31">
        <f t="shared" si="104"/>
        <v>0</v>
      </c>
      <c r="I434" s="31">
        <f t="shared" si="104"/>
        <v>0</v>
      </c>
      <c r="J434" s="31">
        <f>J435+J437+J441+J443+J439</f>
        <v>112012</v>
      </c>
      <c r="K434" s="31">
        <f>K435+K437+K441+K443+K439</f>
        <v>112012</v>
      </c>
      <c r="L434" s="31">
        <f t="shared" si="104"/>
        <v>0</v>
      </c>
      <c r="M434" s="30">
        <f aca="true" t="shared" si="105" ref="M434:M476">C434+F434</f>
        <v>5286988</v>
      </c>
      <c r="N434" s="55"/>
    </row>
    <row r="435" spans="1:14" s="3" customFormat="1" ht="12.75">
      <c r="A435" s="9" t="s">
        <v>199</v>
      </c>
      <c r="B435" s="4" t="s">
        <v>200</v>
      </c>
      <c r="C435" s="27">
        <f>C436</f>
        <v>3923960</v>
      </c>
      <c r="D435" s="27">
        <f>D436</f>
        <v>2269171</v>
      </c>
      <c r="E435" s="27">
        <f>E436</f>
        <v>398684</v>
      </c>
      <c r="F435" s="27">
        <f>G435+J435</f>
        <v>168247</v>
      </c>
      <c r="G435" s="27">
        <f aca="true" t="shared" si="106" ref="G435:L435">G436</f>
        <v>56235</v>
      </c>
      <c r="H435" s="27">
        <f t="shared" si="106"/>
        <v>0</v>
      </c>
      <c r="I435" s="27">
        <f t="shared" si="106"/>
        <v>0</v>
      </c>
      <c r="J435" s="27">
        <f t="shared" si="106"/>
        <v>112012</v>
      </c>
      <c r="K435" s="27">
        <f t="shared" si="106"/>
        <v>112012</v>
      </c>
      <c r="L435" s="27">
        <f t="shared" si="106"/>
        <v>0</v>
      </c>
      <c r="M435" s="26">
        <f t="shared" si="105"/>
        <v>4092207</v>
      </c>
      <c r="N435" s="55"/>
    </row>
    <row r="436" spans="1:14" s="3" customFormat="1" ht="12.75">
      <c r="A436" s="9" t="s">
        <v>76</v>
      </c>
      <c r="B436" s="4" t="s">
        <v>77</v>
      </c>
      <c r="C436" s="27">
        <f>3911648+30815+300+74325+12117-13340-72918-300-22800+4113</f>
        <v>3923960</v>
      </c>
      <c r="D436" s="27">
        <f>2300392-13340-20300+2419</f>
        <v>2269171</v>
      </c>
      <c r="E436" s="27">
        <f>471602-72918</f>
        <v>398684</v>
      </c>
      <c r="F436" s="27">
        <f>G436+J436</f>
        <v>168247</v>
      </c>
      <c r="G436" s="27">
        <v>56235</v>
      </c>
      <c r="H436" s="27"/>
      <c r="I436" s="27"/>
      <c r="J436" s="27">
        <f>K436</f>
        <v>112012</v>
      </c>
      <c r="K436" s="27">
        <f>59900+14888+30249+6975</f>
        <v>112012</v>
      </c>
      <c r="L436" s="27"/>
      <c r="M436" s="26">
        <f t="shared" si="105"/>
        <v>4092207</v>
      </c>
      <c r="N436" s="55"/>
    </row>
    <row r="437" spans="1:14" s="3" customFormat="1" ht="12.75">
      <c r="A437" s="9" t="s">
        <v>211</v>
      </c>
      <c r="B437" s="4" t="s">
        <v>213</v>
      </c>
      <c r="C437" s="27">
        <f>C438</f>
        <v>658754</v>
      </c>
      <c r="D437" s="27">
        <f aca="true" t="shared" si="107" ref="D437:L437">D438</f>
        <v>0</v>
      </c>
      <c r="E437" s="27">
        <f t="shared" si="107"/>
        <v>21351</v>
      </c>
      <c r="F437" s="27">
        <f t="shared" si="107"/>
        <v>0</v>
      </c>
      <c r="G437" s="27">
        <f t="shared" si="107"/>
        <v>0</v>
      </c>
      <c r="H437" s="27">
        <f t="shared" si="107"/>
        <v>0</v>
      </c>
      <c r="I437" s="27">
        <f t="shared" si="107"/>
        <v>0</v>
      </c>
      <c r="J437" s="27">
        <f t="shared" si="107"/>
        <v>0</v>
      </c>
      <c r="K437" s="27">
        <f t="shared" si="107"/>
        <v>0</v>
      </c>
      <c r="L437" s="27">
        <f t="shared" si="107"/>
        <v>0</v>
      </c>
      <c r="M437" s="26">
        <f t="shared" si="105"/>
        <v>658754</v>
      </c>
      <c r="N437" s="55"/>
    </row>
    <row r="438" spans="1:14" s="3" customFormat="1" ht="12.75">
      <c r="A438" s="9" t="s">
        <v>285</v>
      </c>
      <c r="B438" s="4" t="s">
        <v>291</v>
      </c>
      <c r="C438" s="27">
        <f>470000+43781+90809+29900+24264</f>
        <v>658754</v>
      </c>
      <c r="D438" s="27"/>
      <c r="E438" s="27">
        <f>21351</f>
        <v>21351</v>
      </c>
      <c r="F438" s="27">
        <f>G438+J438</f>
        <v>0</v>
      </c>
      <c r="G438" s="27"/>
      <c r="H438" s="27"/>
      <c r="I438" s="27"/>
      <c r="J438" s="27"/>
      <c r="K438" s="27"/>
      <c r="L438" s="27">
        <f>K438</f>
        <v>0</v>
      </c>
      <c r="M438" s="26">
        <f t="shared" si="105"/>
        <v>658754</v>
      </c>
      <c r="N438" s="55"/>
    </row>
    <row r="439" spans="1:14" s="3" customFormat="1" ht="12.75" hidden="1">
      <c r="A439" s="40" t="s">
        <v>203</v>
      </c>
      <c r="B439" s="62" t="s">
        <v>110</v>
      </c>
      <c r="C439" s="38"/>
      <c r="D439" s="38"/>
      <c r="E439" s="38"/>
      <c r="F439" s="38">
        <f>G439+J439</f>
        <v>0</v>
      </c>
      <c r="G439" s="38"/>
      <c r="H439" s="38"/>
      <c r="I439" s="38"/>
      <c r="J439" s="38">
        <f>J440</f>
        <v>0</v>
      </c>
      <c r="K439" s="38">
        <f>K440</f>
        <v>0</v>
      </c>
      <c r="L439" s="38"/>
      <c r="M439" s="57">
        <f>C439+F439</f>
        <v>0</v>
      </c>
      <c r="N439" s="55"/>
    </row>
    <row r="440" spans="1:14" s="3" customFormat="1" ht="12.75" hidden="1">
      <c r="A440" s="40" t="s">
        <v>171</v>
      </c>
      <c r="B440" s="60" t="s">
        <v>172</v>
      </c>
      <c r="C440" s="38"/>
      <c r="D440" s="38"/>
      <c r="E440" s="38"/>
      <c r="F440" s="38">
        <f>G440+J440</f>
        <v>0</v>
      </c>
      <c r="G440" s="38"/>
      <c r="H440" s="38"/>
      <c r="I440" s="38"/>
      <c r="J440" s="38">
        <f>95000-95000</f>
        <v>0</v>
      </c>
      <c r="K440" s="38">
        <f>95000-95000</f>
        <v>0</v>
      </c>
      <c r="L440" s="38"/>
      <c r="M440" s="57">
        <f>C440+F440</f>
        <v>0</v>
      </c>
      <c r="N440" s="55"/>
    </row>
    <row r="441" spans="1:14" s="3" customFormat="1" ht="12.75">
      <c r="A441" s="9" t="s">
        <v>206</v>
      </c>
      <c r="B441" s="4" t="s">
        <v>210</v>
      </c>
      <c r="C441" s="27">
        <f>C442</f>
        <v>0</v>
      </c>
      <c r="D441" s="27">
        <f aca="true" t="shared" si="108" ref="D441:L441">D442</f>
        <v>0</v>
      </c>
      <c r="E441" s="27">
        <f t="shared" si="108"/>
        <v>0</v>
      </c>
      <c r="F441" s="27">
        <f t="shared" si="108"/>
        <v>7257</v>
      </c>
      <c r="G441" s="27">
        <f t="shared" si="108"/>
        <v>7257</v>
      </c>
      <c r="H441" s="27">
        <f t="shared" si="108"/>
        <v>0</v>
      </c>
      <c r="I441" s="27">
        <f t="shared" si="108"/>
        <v>0</v>
      </c>
      <c r="J441" s="27">
        <f t="shared" si="108"/>
        <v>0</v>
      </c>
      <c r="K441" s="27">
        <f t="shared" si="108"/>
        <v>0</v>
      </c>
      <c r="L441" s="27">
        <f t="shared" si="108"/>
        <v>0</v>
      </c>
      <c r="M441" s="26">
        <f t="shared" si="105"/>
        <v>7257</v>
      </c>
      <c r="N441" s="55"/>
    </row>
    <row r="442" spans="1:14" s="3" customFormat="1" ht="79.5" customHeight="1">
      <c r="A442" s="9" t="s">
        <v>114</v>
      </c>
      <c r="B442" s="78" t="s">
        <v>294</v>
      </c>
      <c r="C442" s="27"/>
      <c r="D442" s="27"/>
      <c r="E442" s="27"/>
      <c r="F442" s="27">
        <f>G442+J442</f>
        <v>7257</v>
      </c>
      <c r="G442" s="27">
        <f>6790+467</f>
        <v>7257</v>
      </c>
      <c r="H442" s="27"/>
      <c r="I442" s="27"/>
      <c r="J442" s="27">
        <f>25000-25000</f>
        <v>0</v>
      </c>
      <c r="K442" s="27"/>
      <c r="L442" s="27"/>
      <c r="M442" s="26">
        <f t="shared" si="105"/>
        <v>7257</v>
      </c>
      <c r="N442" s="55"/>
    </row>
    <row r="443" spans="1:14" s="3" customFormat="1" ht="25.5">
      <c r="A443" s="9" t="s">
        <v>208</v>
      </c>
      <c r="B443" s="62" t="s">
        <v>209</v>
      </c>
      <c r="C443" s="27">
        <f>C444</f>
        <v>528770</v>
      </c>
      <c r="D443" s="27">
        <f>D444</f>
        <v>0</v>
      </c>
      <c r="E443" s="27">
        <f>E444</f>
        <v>0</v>
      </c>
      <c r="F443" s="27"/>
      <c r="G443" s="27"/>
      <c r="H443" s="27"/>
      <c r="I443" s="27"/>
      <c r="J443" s="27"/>
      <c r="K443" s="27"/>
      <c r="L443" s="27"/>
      <c r="M443" s="26">
        <f t="shared" si="105"/>
        <v>528770</v>
      </c>
      <c r="N443" s="55"/>
    </row>
    <row r="444" spans="1:14" s="3" customFormat="1" ht="12.75">
      <c r="A444" s="9" t="s">
        <v>115</v>
      </c>
      <c r="B444" s="4" t="s">
        <v>149</v>
      </c>
      <c r="C444" s="27">
        <f>SUM(C445:C450)</f>
        <v>528770</v>
      </c>
      <c r="D444" s="27"/>
      <c r="E444" s="27"/>
      <c r="F444" s="27"/>
      <c r="G444" s="27"/>
      <c r="H444" s="27"/>
      <c r="I444" s="27"/>
      <c r="J444" s="27"/>
      <c r="K444" s="27"/>
      <c r="L444" s="27"/>
      <c r="M444" s="26">
        <f t="shared" si="105"/>
        <v>528770</v>
      </c>
      <c r="N444" s="55"/>
    </row>
    <row r="445" spans="1:14" s="3" customFormat="1" ht="38.25" hidden="1">
      <c r="A445" s="9"/>
      <c r="B445" s="4" t="s">
        <v>381</v>
      </c>
      <c r="C445" s="27">
        <v>132118</v>
      </c>
      <c r="D445" s="27"/>
      <c r="E445" s="27"/>
      <c r="F445" s="27"/>
      <c r="G445" s="27"/>
      <c r="H445" s="27"/>
      <c r="I445" s="27"/>
      <c r="J445" s="27"/>
      <c r="K445" s="27"/>
      <c r="L445" s="27"/>
      <c r="M445" s="26">
        <f t="shared" si="105"/>
        <v>132118</v>
      </c>
      <c r="N445" s="55"/>
    </row>
    <row r="446" spans="1:14" s="3" customFormat="1" ht="25.5" hidden="1">
      <c r="A446" s="9"/>
      <c r="B446" s="73" t="s">
        <v>16</v>
      </c>
      <c r="C446" s="27">
        <f>99900+133200</f>
        <v>233100</v>
      </c>
      <c r="D446" s="27"/>
      <c r="E446" s="27"/>
      <c r="F446" s="27"/>
      <c r="G446" s="27"/>
      <c r="H446" s="27"/>
      <c r="I446" s="27"/>
      <c r="J446" s="27"/>
      <c r="K446" s="27"/>
      <c r="L446" s="27"/>
      <c r="M446" s="26"/>
      <c r="N446" s="55"/>
    </row>
    <row r="447" spans="1:14" s="3" customFormat="1" ht="25.5" hidden="1">
      <c r="A447" s="9"/>
      <c r="B447" s="4" t="s">
        <v>13</v>
      </c>
      <c r="C447" s="27">
        <f>238824-104574</f>
        <v>134250</v>
      </c>
      <c r="D447" s="27"/>
      <c r="E447" s="27"/>
      <c r="F447" s="27"/>
      <c r="G447" s="27"/>
      <c r="H447" s="27"/>
      <c r="I447" s="27"/>
      <c r="J447" s="27"/>
      <c r="K447" s="27"/>
      <c r="L447" s="27"/>
      <c r="M447" s="26">
        <f t="shared" si="105"/>
        <v>134250</v>
      </c>
      <c r="N447" s="55"/>
    </row>
    <row r="448" spans="1:14" s="3" customFormat="1" ht="25.5" hidden="1">
      <c r="A448" s="9"/>
      <c r="B448" s="4" t="s">
        <v>28</v>
      </c>
      <c r="C448" s="27">
        <f>3237+5100</f>
        <v>8337</v>
      </c>
      <c r="D448" s="27"/>
      <c r="E448" s="27"/>
      <c r="F448" s="27"/>
      <c r="G448" s="27"/>
      <c r="H448" s="27"/>
      <c r="I448" s="27"/>
      <c r="J448" s="27"/>
      <c r="K448" s="27"/>
      <c r="L448" s="27"/>
      <c r="M448" s="26">
        <f t="shared" si="105"/>
        <v>8337</v>
      </c>
      <c r="N448" s="55"/>
    </row>
    <row r="449" spans="1:14" s="3" customFormat="1" ht="51" hidden="1">
      <c r="A449" s="9"/>
      <c r="B449" s="4" t="s">
        <v>36</v>
      </c>
      <c r="C449" s="27">
        <v>20000</v>
      </c>
      <c r="D449" s="27"/>
      <c r="E449" s="27"/>
      <c r="F449" s="27"/>
      <c r="G449" s="27"/>
      <c r="H449" s="27"/>
      <c r="I449" s="27"/>
      <c r="J449" s="27"/>
      <c r="K449" s="27"/>
      <c r="L449" s="27"/>
      <c r="M449" s="26"/>
      <c r="N449" s="55"/>
    </row>
    <row r="450" spans="1:14" s="3" customFormat="1" ht="24" hidden="1">
      <c r="A450" s="9"/>
      <c r="B450" s="39" t="s">
        <v>288</v>
      </c>
      <c r="C450" s="27">
        <f>4114-3149</f>
        <v>965</v>
      </c>
      <c r="D450" s="27"/>
      <c r="E450" s="27"/>
      <c r="F450" s="27"/>
      <c r="G450" s="27"/>
      <c r="H450" s="27"/>
      <c r="I450" s="27"/>
      <c r="J450" s="27"/>
      <c r="K450" s="27"/>
      <c r="L450" s="27"/>
      <c r="M450" s="26"/>
      <c r="N450" s="55"/>
    </row>
    <row r="451" spans="1:42" s="19" customFormat="1" ht="37.5" customHeight="1">
      <c r="A451" s="21" t="s">
        <v>355</v>
      </c>
      <c r="B451" s="20" t="s">
        <v>326</v>
      </c>
      <c r="C451" s="32">
        <f>C452+C454+C458+C460</f>
        <v>4218893</v>
      </c>
      <c r="D451" s="32">
        <f aca="true" t="shared" si="109" ref="D451:I451">D452+D454+D458+D460</f>
        <v>2237632</v>
      </c>
      <c r="E451" s="32">
        <f t="shared" si="109"/>
        <v>186842</v>
      </c>
      <c r="F451" s="32">
        <f>G451+J451</f>
        <v>47124</v>
      </c>
      <c r="G451" s="32">
        <f>G452+G454+G458+G460</f>
        <v>29149</v>
      </c>
      <c r="H451" s="32">
        <f t="shared" si="109"/>
        <v>0</v>
      </c>
      <c r="I451" s="32">
        <f t="shared" si="109"/>
        <v>0</v>
      </c>
      <c r="J451" s="32">
        <f>J452+J454+J458+J460+J456</f>
        <v>17975</v>
      </c>
      <c r="K451" s="32">
        <f>K452+K454+K458+K460+K456</f>
        <v>17975</v>
      </c>
      <c r="L451" s="32">
        <f>L452+L454+L458+L460+L456</f>
        <v>0</v>
      </c>
      <c r="M451" s="32">
        <f t="shared" si="105"/>
        <v>4266017</v>
      </c>
      <c r="N451" s="55"/>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row>
    <row r="452" spans="1:42" s="3" customFormat="1" ht="12.75">
      <c r="A452" s="35" t="s">
        <v>199</v>
      </c>
      <c r="B452" s="12" t="s">
        <v>200</v>
      </c>
      <c r="C452" s="28">
        <f>C453</f>
        <v>3558453</v>
      </c>
      <c r="D452" s="28">
        <f>D453</f>
        <v>2237632</v>
      </c>
      <c r="E452" s="28">
        <f>E453</f>
        <v>186842</v>
      </c>
      <c r="F452" s="28">
        <f>G452+J452</f>
        <v>6975</v>
      </c>
      <c r="G452" s="28">
        <f aca="true" t="shared" si="110" ref="G452:L452">G453</f>
        <v>0</v>
      </c>
      <c r="H452" s="28">
        <f t="shared" si="110"/>
        <v>0</v>
      </c>
      <c r="I452" s="28">
        <f t="shared" si="110"/>
        <v>0</v>
      </c>
      <c r="J452" s="28">
        <f t="shared" si="110"/>
        <v>6975</v>
      </c>
      <c r="K452" s="28">
        <f t="shared" si="110"/>
        <v>6975</v>
      </c>
      <c r="L452" s="28">
        <f t="shared" si="110"/>
        <v>0</v>
      </c>
      <c r="M452" s="28">
        <f t="shared" si="105"/>
        <v>3565428</v>
      </c>
      <c r="N452" s="55"/>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row>
    <row r="453" spans="1:42" s="5" customFormat="1" ht="12.75">
      <c r="A453" s="17" t="s">
        <v>76</v>
      </c>
      <c r="B453" s="2" t="s">
        <v>77</v>
      </c>
      <c r="C453" s="28">
        <f>3471701+42479+11689+7600-25000+36250+13734</f>
        <v>3558453</v>
      </c>
      <c r="D453" s="28">
        <f>2199600+28100+9932</f>
        <v>2237632</v>
      </c>
      <c r="E453" s="28">
        <f>211842-25000</f>
        <v>186842</v>
      </c>
      <c r="F453" s="28">
        <f>G453+J453</f>
        <v>6975</v>
      </c>
      <c r="G453" s="28"/>
      <c r="H453" s="28"/>
      <c r="I453" s="28"/>
      <c r="J453" s="28">
        <f>28515-28515+6975</f>
        <v>6975</v>
      </c>
      <c r="K453" s="28">
        <f>J453</f>
        <v>6975</v>
      </c>
      <c r="L453" s="28"/>
      <c r="M453" s="28">
        <f t="shared" si="105"/>
        <v>3565428</v>
      </c>
      <c r="N453" s="55"/>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row>
    <row r="454" spans="1:14" s="3" customFormat="1" ht="12.75">
      <c r="A454" s="9" t="s">
        <v>211</v>
      </c>
      <c r="B454" s="4" t="s">
        <v>213</v>
      </c>
      <c r="C454" s="27">
        <f>C455</f>
        <v>494518</v>
      </c>
      <c r="D454" s="27">
        <f aca="true" t="shared" si="111" ref="D454:L454">D455</f>
        <v>0</v>
      </c>
      <c r="E454" s="27">
        <f t="shared" si="111"/>
        <v>0</v>
      </c>
      <c r="F454" s="27">
        <f t="shared" si="111"/>
        <v>15901</v>
      </c>
      <c r="G454" s="27">
        <f t="shared" si="111"/>
        <v>4901</v>
      </c>
      <c r="H454" s="27">
        <f t="shared" si="111"/>
        <v>0</v>
      </c>
      <c r="I454" s="27">
        <f t="shared" si="111"/>
        <v>0</v>
      </c>
      <c r="J454" s="27">
        <f t="shared" si="111"/>
        <v>11000</v>
      </c>
      <c r="K454" s="27">
        <f t="shared" si="111"/>
        <v>11000</v>
      </c>
      <c r="L454" s="27">
        <f t="shared" si="111"/>
        <v>0</v>
      </c>
      <c r="M454" s="28">
        <f t="shared" si="105"/>
        <v>510419</v>
      </c>
      <c r="N454" s="55"/>
    </row>
    <row r="455" spans="1:14" s="3" customFormat="1" ht="12.75">
      <c r="A455" s="9" t="s">
        <v>285</v>
      </c>
      <c r="B455" s="4" t="s">
        <v>291</v>
      </c>
      <c r="C455" s="27">
        <f>371206+50000+82205+70000-78893</f>
        <v>494518</v>
      </c>
      <c r="D455" s="27"/>
      <c r="E455" s="27"/>
      <c r="F455" s="27">
        <f>G455+J455</f>
        <v>15901</v>
      </c>
      <c r="G455" s="27">
        <v>4901</v>
      </c>
      <c r="H455" s="27"/>
      <c r="I455" s="27"/>
      <c r="J455" s="27">
        <f>K455</f>
        <v>11000</v>
      </c>
      <c r="K455" s="27">
        <f>(11000)</f>
        <v>11000</v>
      </c>
      <c r="L455" s="27"/>
      <c r="M455" s="28">
        <f t="shared" si="105"/>
        <v>510419</v>
      </c>
      <c r="N455" s="55"/>
    </row>
    <row r="456" spans="1:14" s="3" customFormat="1" ht="12.75" hidden="1">
      <c r="A456" s="40" t="s">
        <v>203</v>
      </c>
      <c r="B456" s="60" t="s">
        <v>110</v>
      </c>
      <c r="C456" s="27"/>
      <c r="D456" s="27"/>
      <c r="E456" s="27"/>
      <c r="F456" s="27">
        <f>G456+J456</f>
        <v>0</v>
      </c>
      <c r="G456" s="27"/>
      <c r="H456" s="27"/>
      <c r="I456" s="27"/>
      <c r="J456" s="27">
        <f>J457</f>
        <v>0</v>
      </c>
      <c r="K456" s="27">
        <f>K457</f>
        <v>0</v>
      </c>
      <c r="L456" s="27">
        <f>L457</f>
        <v>0</v>
      </c>
      <c r="M456" s="28">
        <f t="shared" si="105"/>
        <v>0</v>
      </c>
      <c r="N456" s="55"/>
    </row>
    <row r="457" spans="1:14" s="3" customFormat="1" ht="12.75" hidden="1">
      <c r="A457" s="40" t="s">
        <v>171</v>
      </c>
      <c r="B457" s="36" t="s">
        <v>172</v>
      </c>
      <c r="C457" s="27"/>
      <c r="D457" s="27"/>
      <c r="E457" s="27"/>
      <c r="F457" s="27">
        <f>G457+J457</f>
        <v>0</v>
      </c>
      <c r="G457" s="27"/>
      <c r="H457" s="27"/>
      <c r="I457" s="27"/>
      <c r="J457" s="27">
        <f>K457</f>
        <v>0</v>
      </c>
      <c r="K457" s="27">
        <f>1000000-1000000</f>
        <v>0</v>
      </c>
      <c r="L457" s="27"/>
      <c r="M457" s="28">
        <f t="shared" si="105"/>
        <v>0</v>
      </c>
      <c r="N457" s="55"/>
    </row>
    <row r="458" spans="1:14" s="3" customFormat="1" ht="13.5" customHeight="1">
      <c r="A458" s="9" t="s">
        <v>206</v>
      </c>
      <c r="B458" s="4" t="s">
        <v>210</v>
      </c>
      <c r="C458" s="27">
        <f>C459</f>
        <v>0</v>
      </c>
      <c r="D458" s="27">
        <f aca="true" t="shared" si="112" ref="D458:L458">D459</f>
        <v>0</v>
      </c>
      <c r="E458" s="27">
        <f t="shared" si="112"/>
        <v>0</v>
      </c>
      <c r="F458" s="27">
        <f>G458+J458</f>
        <v>24248</v>
      </c>
      <c r="G458" s="27">
        <f t="shared" si="112"/>
        <v>24248</v>
      </c>
      <c r="H458" s="27">
        <f t="shared" si="112"/>
        <v>0</v>
      </c>
      <c r="I458" s="27">
        <f t="shared" si="112"/>
        <v>0</v>
      </c>
      <c r="J458" s="27">
        <f t="shared" si="112"/>
        <v>0</v>
      </c>
      <c r="K458" s="27">
        <f t="shared" si="112"/>
        <v>0</v>
      </c>
      <c r="L458" s="27">
        <f t="shared" si="112"/>
        <v>0</v>
      </c>
      <c r="M458" s="28">
        <f t="shared" si="105"/>
        <v>24248</v>
      </c>
      <c r="N458" s="55"/>
    </row>
    <row r="459" spans="1:14" s="3" customFormat="1" ht="76.5" customHeight="1">
      <c r="A459" s="9" t="s">
        <v>114</v>
      </c>
      <c r="B459" s="78" t="s">
        <v>294</v>
      </c>
      <c r="C459" s="27"/>
      <c r="D459" s="27"/>
      <c r="E459" s="27"/>
      <c r="F459" s="27">
        <f>G459+J459</f>
        <v>24248</v>
      </c>
      <c r="G459" s="27">
        <f>20000+14248-10000</f>
        <v>24248</v>
      </c>
      <c r="H459" s="27"/>
      <c r="I459" s="27"/>
      <c r="J459" s="27"/>
      <c r="K459" s="27"/>
      <c r="L459" s="27"/>
      <c r="M459" s="28">
        <f t="shared" si="105"/>
        <v>24248</v>
      </c>
      <c r="N459" s="55"/>
    </row>
    <row r="460" spans="1:14" s="3" customFormat="1" ht="25.5">
      <c r="A460" s="9" t="s">
        <v>208</v>
      </c>
      <c r="B460" s="62" t="s">
        <v>209</v>
      </c>
      <c r="C460" s="27">
        <f>C461</f>
        <v>165922</v>
      </c>
      <c r="D460" s="27">
        <f aca="true" t="shared" si="113" ref="D460:L460">D461</f>
        <v>0</v>
      </c>
      <c r="E460" s="27">
        <f t="shared" si="113"/>
        <v>0</v>
      </c>
      <c r="F460" s="27">
        <f t="shared" si="113"/>
        <v>0</v>
      </c>
      <c r="G460" s="27">
        <f t="shared" si="113"/>
        <v>0</v>
      </c>
      <c r="H460" s="27">
        <f t="shared" si="113"/>
        <v>0</v>
      </c>
      <c r="I460" s="27">
        <f t="shared" si="113"/>
        <v>0</v>
      </c>
      <c r="J460" s="27">
        <f t="shared" si="113"/>
        <v>0</v>
      </c>
      <c r="K460" s="27">
        <f t="shared" si="113"/>
        <v>0</v>
      </c>
      <c r="L460" s="27">
        <f t="shared" si="113"/>
        <v>0</v>
      </c>
      <c r="M460" s="28">
        <f t="shared" si="105"/>
        <v>165922</v>
      </c>
      <c r="N460" s="55"/>
    </row>
    <row r="461" spans="1:14" s="3" customFormat="1" ht="12.75" customHeight="1">
      <c r="A461" s="9" t="s">
        <v>115</v>
      </c>
      <c r="B461" s="4" t="s">
        <v>149</v>
      </c>
      <c r="C461" s="27">
        <f>SUM(C462:C466)</f>
        <v>165922</v>
      </c>
      <c r="D461" s="27"/>
      <c r="E461" s="27"/>
      <c r="F461" s="27"/>
      <c r="G461" s="27"/>
      <c r="H461" s="27"/>
      <c r="I461" s="27"/>
      <c r="J461" s="27"/>
      <c r="K461" s="27"/>
      <c r="L461" s="27"/>
      <c r="M461" s="28">
        <f t="shared" si="105"/>
        <v>165922</v>
      </c>
      <c r="N461" s="55"/>
    </row>
    <row r="462" spans="1:14" s="3" customFormat="1" ht="38.25" hidden="1">
      <c r="A462" s="9"/>
      <c r="B462" s="4" t="s">
        <v>381</v>
      </c>
      <c r="C462" s="27">
        <v>5735</v>
      </c>
      <c r="D462" s="27"/>
      <c r="E462" s="27"/>
      <c r="F462" s="27"/>
      <c r="G462" s="27"/>
      <c r="H462" s="27"/>
      <c r="I462" s="27"/>
      <c r="J462" s="27"/>
      <c r="K462" s="27"/>
      <c r="L462" s="27"/>
      <c r="M462" s="28">
        <f t="shared" si="105"/>
        <v>5735</v>
      </c>
      <c r="N462" s="55"/>
    </row>
    <row r="463" spans="1:14" s="3" customFormat="1" ht="25.5" hidden="1">
      <c r="A463" s="9"/>
      <c r="B463" s="4" t="s">
        <v>13</v>
      </c>
      <c r="C463" s="27">
        <v>31950</v>
      </c>
      <c r="D463" s="27"/>
      <c r="E463" s="27"/>
      <c r="F463" s="27"/>
      <c r="G463" s="27"/>
      <c r="H463" s="27"/>
      <c r="I463" s="27"/>
      <c r="J463" s="27"/>
      <c r="K463" s="27"/>
      <c r="L463" s="27"/>
      <c r="M463" s="28">
        <f t="shared" si="105"/>
        <v>31950</v>
      </c>
      <c r="N463" s="55"/>
    </row>
    <row r="464" spans="1:14" s="3" customFormat="1" ht="25.5" hidden="1">
      <c r="A464" s="9"/>
      <c r="B464" s="73" t="s">
        <v>16</v>
      </c>
      <c r="C464" s="27">
        <f>99900+166500-65429-101071</f>
        <v>99900</v>
      </c>
      <c r="D464" s="27"/>
      <c r="E464" s="27"/>
      <c r="F464" s="27"/>
      <c r="G464" s="27"/>
      <c r="H464" s="27"/>
      <c r="I464" s="27"/>
      <c r="J464" s="27"/>
      <c r="K464" s="27"/>
      <c r="L464" s="27"/>
      <c r="M464" s="28"/>
      <c r="N464" s="55"/>
    </row>
    <row r="465" spans="1:14" s="3" customFormat="1" ht="25.5" hidden="1">
      <c r="A465" s="9"/>
      <c r="B465" s="4" t="s">
        <v>28</v>
      </c>
      <c r="C465" s="27">
        <f>3237+5100</f>
        <v>8337</v>
      </c>
      <c r="D465" s="27"/>
      <c r="E465" s="27"/>
      <c r="F465" s="27"/>
      <c r="G465" s="27"/>
      <c r="H465" s="27"/>
      <c r="I465" s="27"/>
      <c r="J465" s="27"/>
      <c r="K465" s="27"/>
      <c r="L465" s="27"/>
      <c r="M465" s="28"/>
      <c r="N465" s="55"/>
    </row>
    <row r="466" spans="1:14" s="3" customFormat="1" ht="51" hidden="1">
      <c r="A466" s="9"/>
      <c r="B466" s="4" t="s">
        <v>36</v>
      </c>
      <c r="C466" s="27">
        <v>20000</v>
      </c>
      <c r="D466" s="27"/>
      <c r="E466" s="27"/>
      <c r="F466" s="27"/>
      <c r="G466" s="27"/>
      <c r="H466" s="27"/>
      <c r="I466" s="27"/>
      <c r="J466" s="27"/>
      <c r="K466" s="27"/>
      <c r="L466" s="27"/>
      <c r="M466" s="28"/>
      <c r="N466" s="55"/>
    </row>
    <row r="467" spans="1:14" s="3" customFormat="1" ht="24" hidden="1">
      <c r="A467" s="9"/>
      <c r="B467" s="39" t="s">
        <v>288</v>
      </c>
      <c r="C467" s="27"/>
      <c r="D467" s="27"/>
      <c r="E467" s="27"/>
      <c r="F467" s="27"/>
      <c r="G467" s="27"/>
      <c r="H467" s="27"/>
      <c r="I467" s="27"/>
      <c r="J467" s="27"/>
      <c r="K467" s="27"/>
      <c r="L467" s="27"/>
      <c r="M467" s="28"/>
      <c r="N467" s="55"/>
    </row>
    <row r="468" spans="1:14" s="56" customFormat="1" ht="38.25">
      <c r="A468" s="106" t="s">
        <v>356</v>
      </c>
      <c r="B468" s="20" t="s">
        <v>327</v>
      </c>
      <c r="C468" s="54">
        <f>C469+C471+C475+C477</f>
        <v>4788252</v>
      </c>
      <c r="D468" s="54">
        <f aca="true" t="shared" si="114" ref="D468:L468">D469+D471+D475+D477</f>
        <v>2058587</v>
      </c>
      <c r="E468" s="54">
        <f t="shared" si="114"/>
        <v>373768</v>
      </c>
      <c r="F468" s="54">
        <f aca="true" t="shared" si="115" ref="F468:F474">G468+J468</f>
        <v>2332661</v>
      </c>
      <c r="G468" s="54">
        <f>G469+G471+G475+G477</f>
        <v>146541</v>
      </c>
      <c r="H468" s="54">
        <f t="shared" si="114"/>
        <v>0</v>
      </c>
      <c r="I468" s="54">
        <f t="shared" si="114"/>
        <v>0</v>
      </c>
      <c r="J468" s="54">
        <f>J469+J471+J475+J477+J473</f>
        <v>2186120</v>
      </c>
      <c r="K468" s="54">
        <f>K469+K471+K475+K477+K473</f>
        <v>2186120</v>
      </c>
      <c r="L468" s="54">
        <f t="shared" si="114"/>
        <v>0</v>
      </c>
      <c r="M468" s="54">
        <f t="shared" si="105"/>
        <v>7120913</v>
      </c>
      <c r="N468" s="55"/>
    </row>
    <row r="469" spans="1:14" s="59" customFormat="1" ht="12.75">
      <c r="A469" s="43" t="s">
        <v>199</v>
      </c>
      <c r="B469" s="44" t="s">
        <v>200</v>
      </c>
      <c r="C469" s="45">
        <f>C470</f>
        <v>3586601</v>
      </c>
      <c r="D469" s="45">
        <f>D470</f>
        <v>2058587</v>
      </c>
      <c r="E469" s="45">
        <f>E470</f>
        <v>373768</v>
      </c>
      <c r="F469" s="45">
        <f t="shared" si="115"/>
        <v>21768</v>
      </c>
      <c r="G469" s="45">
        <f aca="true" t="shared" si="116" ref="G469:L469">G470</f>
        <v>14793</v>
      </c>
      <c r="H469" s="45">
        <f t="shared" si="116"/>
        <v>0</v>
      </c>
      <c r="I469" s="45">
        <f t="shared" si="116"/>
        <v>0</v>
      </c>
      <c r="J469" s="45">
        <f t="shared" si="116"/>
        <v>6975</v>
      </c>
      <c r="K469" s="45">
        <f t="shared" si="116"/>
        <v>6975</v>
      </c>
      <c r="L469" s="45">
        <f t="shared" si="116"/>
        <v>0</v>
      </c>
      <c r="M469" s="45">
        <f t="shared" si="105"/>
        <v>3608369</v>
      </c>
      <c r="N469" s="55"/>
    </row>
    <row r="470" spans="1:14" s="59" customFormat="1" ht="12.75">
      <c r="A470" s="72" t="s">
        <v>76</v>
      </c>
      <c r="B470" s="44" t="s">
        <v>77</v>
      </c>
      <c r="C470" s="45">
        <f>3506211+87538+10426-11470-13340+2500+4736</f>
        <v>3586601</v>
      </c>
      <c r="D470" s="45">
        <f>2082538-11470-13340-1000+1859</f>
        <v>2058587</v>
      </c>
      <c r="E470" s="45">
        <v>373768</v>
      </c>
      <c r="F470" s="45">
        <f t="shared" si="115"/>
        <v>21768</v>
      </c>
      <c r="G470" s="45">
        <v>14793</v>
      </c>
      <c r="H470" s="45"/>
      <c r="I470" s="45"/>
      <c r="J470" s="45">
        <f>6975</f>
        <v>6975</v>
      </c>
      <c r="K470" s="45">
        <f>J470</f>
        <v>6975</v>
      </c>
      <c r="L470" s="45"/>
      <c r="M470" s="45">
        <f t="shared" si="105"/>
        <v>3608369</v>
      </c>
      <c r="N470" s="55"/>
    </row>
    <row r="471" spans="1:14" s="3" customFormat="1" ht="12.75">
      <c r="A471" s="9" t="s">
        <v>211</v>
      </c>
      <c r="B471" s="4" t="s">
        <v>213</v>
      </c>
      <c r="C471" s="27">
        <f>C472</f>
        <v>813709</v>
      </c>
      <c r="D471" s="27">
        <f aca="true" t="shared" si="117" ref="D471:L471">D472</f>
        <v>0</v>
      </c>
      <c r="E471" s="27">
        <f t="shared" si="117"/>
        <v>0</v>
      </c>
      <c r="F471" s="45">
        <f t="shared" si="115"/>
        <v>147972</v>
      </c>
      <c r="G471" s="27">
        <f t="shared" si="117"/>
        <v>109065</v>
      </c>
      <c r="H471" s="27">
        <f t="shared" si="117"/>
        <v>0</v>
      </c>
      <c r="I471" s="27">
        <f t="shared" si="117"/>
        <v>0</v>
      </c>
      <c r="J471" s="27">
        <f t="shared" si="117"/>
        <v>38907</v>
      </c>
      <c r="K471" s="27">
        <f t="shared" si="117"/>
        <v>38907</v>
      </c>
      <c r="L471" s="27">
        <f t="shared" si="117"/>
        <v>0</v>
      </c>
      <c r="M471" s="45">
        <f t="shared" si="105"/>
        <v>961681</v>
      </c>
      <c r="N471" s="55"/>
    </row>
    <row r="472" spans="1:14" s="3" customFormat="1" ht="12.75">
      <c r="A472" s="9" t="s">
        <v>285</v>
      </c>
      <c r="B472" s="4" t="s">
        <v>291</v>
      </c>
      <c r="C472" s="27">
        <f>690000+44709+79000</f>
        <v>813709</v>
      </c>
      <c r="D472" s="27"/>
      <c r="E472" s="27"/>
      <c r="F472" s="45">
        <f t="shared" si="115"/>
        <v>147972</v>
      </c>
      <c r="G472" s="27">
        <v>109065</v>
      </c>
      <c r="H472" s="27"/>
      <c r="I472" s="27"/>
      <c r="J472" s="27">
        <f>K472</f>
        <v>38907</v>
      </c>
      <c r="K472" s="27">
        <v>38907</v>
      </c>
      <c r="L472" s="27"/>
      <c r="M472" s="45">
        <f t="shared" si="105"/>
        <v>961681</v>
      </c>
      <c r="N472" s="55"/>
    </row>
    <row r="473" spans="1:14" s="3" customFormat="1" ht="12.75">
      <c r="A473" s="40" t="s">
        <v>203</v>
      </c>
      <c r="B473" s="62" t="s">
        <v>110</v>
      </c>
      <c r="C473" s="38"/>
      <c r="D473" s="38"/>
      <c r="E473" s="38"/>
      <c r="F473" s="38">
        <f t="shared" si="115"/>
        <v>2140238</v>
      </c>
      <c r="G473" s="38"/>
      <c r="H473" s="38"/>
      <c r="I473" s="38"/>
      <c r="J473" s="38">
        <f>J474</f>
        <v>2140238</v>
      </c>
      <c r="K473" s="38">
        <f>K474</f>
        <v>2140238</v>
      </c>
      <c r="L473" s="38"/>
      <c r="M473" s="57">
        <f t="shared" si="105"/>
        <v>2140238</v>
      </c>
      <c r="N473" s="55"/>
    </row>
    <row r="474" spans="1:14" s="3" customFormat="1" ht="12.75">
      <c r="A474" s="40" t="s">
        <v>171</v>
      </c>
      <c r="B474" s="60" t="s">
        <v>172</v>
      </c>
      <c r="C474" s="38"/>
      <c r="D474" s="38"/>
      <c r="E474" s="38"/>
      <c r="F474" s="38">
        <f t="shared" si="115"/>
        <v>2140238</v>
      </c>
      <c r="G474" s="38"/>
      <c r="H474" s="38"/>
      <c r="I474" s="38"/>
      <c r="J474" s="38">
        <f>K474</f>
        <v>2140238</v>
      </c>
      <c r="K474" s="81">
        <f>4220000+1077160+291853+360936-916804-153361-18318-48174+66946-2100000-640000</f>
        <v>2140238</v>
      </c>
      <c r="L474" s="38"/>
      <c r="M474" s="57">
        <f t="shared" si="105"/>
        <v>2140238</v>
      </c>
      <c r="N474" s="55"/>
    </row>
    <row r="475" spans="1:14" s="3" customFormat="1" ht="12.75">
      <c r="A475" s="9" t="s">
        <v>206</v>
      </c>
      <c r="B475" s="4" t="s">
        <v>210</v>
      </c>
      <c r="C475" s="27">
        <f>C476</f>
        <v>0</v>
      </c>
      <c r="D475" s="27">
        <f aca="true" t="shared" si="118" ref="D475:L475">D476</f>
        <v>0</v>
      </c>
      <c r="E475" s="27">
        <f t="shared" si="118"/>
        <v>0</v>
      </c>
      <c r="F475" s="27">
        <f t="shared" si="118"/>
        <v>22683</v>
      </c>
      <c r="G475" s="27">
        <f t="shared" si="118"/>
        <v>22683</v>
      </c>
      <c r="H475" s="27">
        <f t="shared" si="118"/>
        <v>0</v>
      </c>
      <c r="I475" s="27">
        <f t="shared" si="118"/>
        <v>0</v>
      </c>
      <c r="J475" s="27">
        <f t="shared" si="118"/>
        <v>0</v>
      </c>
      <c r="K475" s="27">
        <f t="shared" si="118"/>
        <v>0</v>
      </c>
      <c r="L475" s="27">
        <f t="shared" si="118"/>
        <v>0</v>
      </c>
      <c r="M475" s="45">
        <f t="shared" si="105"/>
        <v>22683</v>
      </c>
      <c r="N475" s="55"/>
    </row>
    <row r="476" spans="1:14" s="3" customFormat="1" ht="79.5" customHeight="1">
      <c r="A476" s="9" t="s">
        <v>114</v>
      </c>
      <c r="B476" s="78" t="s">
        <v>294</v>
      </c>
      <c r="C476" s="27"/>
      <c r="D476" s="27"/>
      <c r="E476" s="27"/>
      <c r="F476" s="27">
        <f>G476+J476</f>
        <v>22683</v>
      </c>
      <c r="G476" s="27">
        <f>9500+13183</f>
        <v>22683</v>
      </c>
      <c r="H476" s="27"/>
      <c r="I476" s="27"/>
      <c r="J476" s="27">
        <f>110000-110000</f>
        <v>0</v>
      </c>
      <c r="K476" s="27"/>
      <c r="L476" s="27"/>
      <c r="M476" s="45">
        <f t="shared" si="105"/>
        <v>22683</v>
      </c>
      <c r="N476" s="55"/>
    </row>
    <row r="477" spans="1:14" s="3" customFormat="1" ht="27.75" customHeight="1">
      <c r="A477" s="9" t="s">
        <v>208</v>
      </c>
      <c r="B477" s="62" t="s">
        <v>209</v>
      </c>
      <c r="C477" s="27">
        <f>C478</f>
        <v>387942</v>
      </c>
      <c r="D477" s="27">
        <f aca="true" t="shared" si="119" ref="D477:L477">D478</f>
        <v>0</v>
      </c>
      <c r="E477" s="27">
        <f t="shared" si="119"/>
        <v>0</v>
      </c>
      <c r="F477" s="27">
        <f t="shared" si="119"/>
        <v>0</v>
      </c>
      <c r="G477" s="27">
        <f t="shared" si="119"/>
        <v>0</v>
      </c>
      <c r="H477" s="27">
        <f t="shared" si="119"/>
        <v>0</v>
      </c>
      <c r="I477" s="27">
        <f t="shared" si="119"/>
        <v>0</v>
      </c>
      <c r="J477" s="27">
        <f t="shared" si="119"/>
        <v>0</v>
      </c>
      <c r="K477" s="27">
        <f t="shared" si="119"/>
        <v>0</v>
      </c>
      <c r="L477" s="27">
        <f t="shared" si="119"/>
        <v>0</v>
      </c>
      <c r="M477" s="45">
        <f aca="true" t="shared" si="120" ref="M477:M532">C477+F477</f>
        <v>387942</v>
      </c>
      <c r="N477" s="55"/>
    </row>
    <row r="478" spans="1:14" s="3" customFormat="1" ht="12.75">
      <c r="A478" s="9" t="s">
        <v>115</v>
      </c>
      <c r="B478" s="4" t="s">
        <v>149</v>
      </c>
      <c r="C478" s="27">
        <f>SUM(C479:C484)</f>
        <v>387942</v>
      </c>
      <c r="D478" s="27"/>
      <c r="E478" s="27"/>
      <c r="F478" s="27"/>
      <c r="G478" s="27"/>
      <c r="H478" s="27"/>
      <c r="I478" s="27"/>
      <c r="J478" s="27"/>
      <c r="K478" s="27"/>
      <c r="L478" s="27"/>
      <c r="M478" s="45">
        <f t="shared" si="120"/>
        <v>387942</v>
      </c>
      <c r="N478" s="55"/>
    </row>
    <row r="479" spans="1:14" s="3" customFormat="1" ht="38.25" hidden="1">
      <c r="A479" s="9"/>
      <c r="B479" s="4" t="s">
        <v>381</v>
      </c>
      <c r="C479" s="27">
        <v>86135</v>
      </c>
      <c r="D479" s="27"/>
      <c r="E479" s="27"/>
      <c r="F479" s="27"/>
      <c r="G479" s="27"/>
      <c r="H479" s="27"/>
      <c r="I479" s="27"/>
      <c r="J479" s="27"/>
      <c r="K479" s="27"/>
      <c r="L479" s="27"/>
      <c r="M479" s="45">
        <f t="shared" si="120"/>
        <v>86135</v>
      </c>
      <c r="N479" s="55"/>
    </row>
    <row r="480" spans="1:14" s="3" customFormat="1" ht="25.5" hidden="1">
      <c r="A480" s="9"/>
      <c r="B480" s="73" t="s">
        <v>16</v>
      </c>
      <c r="C480" s="27">
        <f>99900+166500-33300</f>
        <v>233100</v>
      </c>
      <c r="D480" s="27"/>
      <c r="E480" s="27"/>
      <c r="F480" s="27"/>
      <c r="G480" s="27"/>
      <c r="H480" s="27"/>
      <c r="I480" s="27"/>
      <c r="J480" s="27"/>
      <c r="K480" s="27"/>
      <c r="L480" s="27"/>
      <c r="M480" s="45"/>
      <c r="N480" s="55"/>
    </row>
    <row r="481" spans="1:14" s="3" customFormat="1" ht="25.5" hidden="1">
      <c r="A481" s="9"/>
      <c r="B481" s="4" t="s">
        <v>13</v>
      </c>
      <c r="C481" s="27">
        <v>38505</v>
      </c>
      <c r="D481" s="27"/>
      <c r="E481" s="27"/>
      <c r="F481" s="27"/>
      <c r="G481" s="27"/>
      <c r="H481" s="27"/>
      <c r="I481" s="27"/>
      <c r="J481" s="27"/>
      <c r="K481" s="27"/>
      <c r="L481" s="27"/>
      <c r="M481" s="45">
        <f t="shared" si="120"/>
        <v>38505</v>
      </c>
      <c r="N481" s="55"/>
    </row>
    <row r="482" spans="1:14" s="3" customFormat="1" ht="25.5" hidden="1">
      <c r="A482" s="9"/>
      <c r="B482" s="4" t="s">
        <v>28</v>
      </c>
      <c r="C482" s="27">
        <f>2427+5100</f>
        <v>7527</v>
      </c>
      <c r="D482" s="27"/>
      <c r="E482" s="27"/>
      <c r="F482" s="27"/>
      <c r="G482" s="27"/>
      <c r="H482" s="27"/>
      <c r="I482" s="27"/>
      <c r="J482" s="27"/>
      <c r="K482" s="27"/>
      <c r="L482" s="27"/>
      <c r="M482" s="45">
        <f t="shared" si="120"/>
        <v>7527</v>
      </c>
      <c r="N482" s="55"/>
    </row>
    <row r="483" spans="1:14" s="3" customFormat="1" ht="51" hidden="1">
      <c r="A483" s="9"/>
      <c r="B483" s="4" t="s">
        <v>36</v>
      </c>
      <c r="C483" s="27">
        <v>20000</v>
      </c>
      <c r="D483" s="27"/>
      <c r="E483" s="27"/>
      <c r="F483" s="27"/>
      <c r="G483" s="27"/>
      <c r="H483" s="27"/>
      <c r="I483" s="27"/>
      <c r="J483" s="27"/>
      <c r="K483" s="27"/>
      <c r="L483" s="27"/>
      <c r="M483" s="45"/>
      <c r="N483" s="55"/>
    </row>
    <row r="484" spans="1:14" s="3" customFormat="1" ht="24" hidden="1">
      <c r="A484" s="9"/>
      <c r="B484" s="39" t="s">
        <v>288</v>
      </c>
      <c r="C484" s="27">
        <f>7356-4681</f>
        <v>2675</v>
      </c>
      <c r="D484" s="27"/>
      <c r="E484" s="27"/>
      <c r="F484" s="27"/>
      <c r="G484" s="27"/>
      <c r="H484" s="27"/>
      <c r="I484" s="27"/>
      <c r="J484" s="27"/>
      <c r="K484" s="27"/>
      <c r="L484" s="27"/>
      <c r="M484" s="45"/>
      <c r="N484" s="55"/>
    </row>
    <row r="485" spans="1:14" s="19" customFormat="1" ht="41.25" customHeight="1">
      <c r="A485" s="18" t="s">
        <v>357</v>
      </c>
      <c r="B485" s="20" t="s">
        <v>328</v>
      </c>
      <c r="C485" s="31">
        <f>C486+C488+C492+C494</f>
        <v>4405566</v>
      </c>
      <c r="D485" s="31">
        <f>D486+D488+D492+D494</f>
        <v>2113625</v>
      </c>
      <c r="E485" s="31">
        <f>E486+E488+E492+E494</f>
        <v>309826</v>
      </c>
      <c r="F485" s="31">
        <f>G485+J485</f>
        <v>77592</v>
      </c>
      <c r="G485" s="31">
        <f>G486+G488+G492+G494</f>
        <v>9330</v>
      </c>
      <c r="H485" s="31">
        <f>H486+H488+H492+H494</f>
        <v>0</v>
      </c>
      <c r="I485" s="31">
        <f>I486+I488+I492+I494</f>
        <v>0</v>
      </c>
      <c r="J485" s="31">
        <f>J486+J488+J492+J494+J490</f>
        <v>68262</v>
      </c>
      <c r="K485" s="31">
        <f>K486+K488+K492+K494+K490</f>
        <v>68262</v>
      </c>
      <c r="L485" s="31">
        <f>L486+L488+L492+L494</f>
        <v>0</v>
      </c>
      <c r="M485" s="31">
        <f>C485+F485</f>
        <v>4483158</v>
      </c>
      <c r="N485" s="55"/>
    </row>
    <row r="486" spans="1:14" s="3" customFormat="1" ht="12.75">
      <c r="A486" s="9" t="s">
        <v>199</v>
      </c>
      <c r="B486" s="4" t="s">
        <v>200</v>
      </c>
      <c r="C486" s="27">
        <f>C487</f>
        <v>3568018</v>
      </c>
      <c r="D486" s="27">
        <f>D487</f>
        <v>2113625</v>
      </c>
      <c r="E486" s="27">
        <f>E487</f>
        <v>286520</v>
      </c>
      <c r="F486" s="27">
        <f>G486+J486</f>
        <v>21375</v>
      </c>
      <c r="G486" s="27"/>
      <c r="H486" s="27"/>
      <c r="I486" s="27"/>
      <c r="J486" s="27">
        <f>J487</f>
        <v>21375</v>
      </c>
      <c r="K486" s="27">
        <f>K487</f>
        <v>21375</v>
      </c>
      <c r="L486" s="27">
        <f>L487</f>
        <v>0</v>
      </c>
      <c r="M486" s="27">
        <f t="shared" si="120"/>
        <v>3589393</v>
      </c>
      <c r="N486" s="55"/>
    </row>
    <row r="487" spans="1:14" s="1" customFormat="1" ht="15.75" customHeight="1">
      <c r="A487" s="8" t="s">
        <v>76</v>
      </c>
      <c r="B487" s="10" t="s">
        <v>77</v>
      </c>
      <c r="C487" s="27">
        <f>3569661+67617-15960+6700-60000</f>
        <v>3568018</v>
      </c>
      <c r="D487" s="27">
        <f>2138485-15960-8900</f>
        <v>2113625</v>
      </c>
      <c r="E487" s="27">
        <f>346520-60000</f>
        <v>286520</v>
      </c>
      <c r="F487" s="27">
        <f>G487+J487</f>
        <v>21375</v>
      </c>
      <c r="G487" s="27"/>
      <c r="H487" s="27"/>
      <c r="I487" s="27"/>
      <c r="J487" s="27">
        <f>21375</f>
        <v>21375</v>
      </c>
      <c r="K487" s="29">
        <f>J487</f>
        <v>21375</v>
      </c>
      <c r="L487" s="29"/>
      <c r="M487" s="27">
        <f t="shared" si="120"/>
        <v>3589393</v>
      </c>
      <c r="N487" s="55"/>
    </row>
    <row r="488" spans="1:14" s="3" customFormat="1" ht="12.75">
      <c r="A488" s="9" t="s">
        <v>211</v>
      </c>
      <c r="B488" s="4" t="s">
        <v>213</v>
      </c>
      <c r="C488" s="27">
        <f>C489</f>
        <v>584023</v>
      </c>
      <c r="D488" s="27">
        <f aca="true" t="shared" si="121" ref="D488:L488">D489</f>
        <v>0</v>
      </c>
      <c r="E488" s="27">
        <f t="shared" si="121"/>
        <v>23306</v>
      </c>
      <c r="F488" s="27">
        <f t="shared" si="121"/>
        <v>9330</v>
      </c>
      <c r="G488" s="27">
        <f t="shared" si="121"/>
        <v>9330</v>
      </c>
      <c r="H488" s="27">
        <f t="shared" si="121"/>
        <v>0</v>
      </c>
      <c r="I488" s="27">
        <f t="shared" si="121"/>
        <v>0</v>
      </c>
      <c r="J488" s="27">
        <f t="shared" si="121"/>
        <v>0</v>
      </c>
      <c r="K488" s="27">
        <f t="shared" si="121"/>
        <v>0</v>
      </c>
      <c r="L488" s="27">
        <f t="shared" si="121"/>
        <v>0</v>
      </c>
      <c r="M488" s="27">
        <f t="shared" si="120"/>
        <v>593353</v>
      </c>
      <c r="N488" s="55"/>
    </row>
    <row r="489" spans="1:14" s="3" customFormat="1" ht="12.75">
      <c r="A489" s="9" t="s">
        <v>285</v>
      </c>
      <c r="B489" s="4" t="s">
        <v>291</v>
      </c>
      <c r="C489" s="27">
        <f>450000+32173+80000+21850</f>
        <v>584023</v>
      </c>
      <c r="D489" s="27"/>
      <c r="E489" s="27">
        <f>4372+18934</f>
        <v>23306</v>
      </c>
      <c r="F489" s="27">
        <f>G489+J489</f>
        <v>9330</v>
      </c>
      <c r="G489" s="27">
        <v>9330</v>
      </c>
      <c r="H489" s="27"/>
      <c r="I489" s="27"/>
      <c r="J489" s="27"/>
      <c r="K489" s="27">
        <f>J489</f>
        <v>0</v>
      </c>
      <c r="L489" s="27">
        <f>K489</f>
        <v>0</v>
      </c>
      <c r="M489" s="27">
        <f t="shared" si="120"/>
        <v>593353</v>
      </c>
      <c r="N489" s="55"/>
    </row>
    <row r="490" spans="1:14" s="3" customFormat="1" ht="12.75">
      <c r="A490" s="40" t="s">
        <v>203</v>
      </c>
      <c r="B490" s="62" t="s">
        <v>110</v>
      </c>
      <c r="C490" s="38"/>
      <c r="D490" s="38"/>
      <c r="E490" s="38"/>
      <c r="F490" s="38">
        <f>G490+J490</f>
        <v>46887</v>
      </c>
      <c r="G490" s="38"/>
      <c r="H490" s="38"/>
      <c r="I490" s="38"/>
      <c r="J490" s="38">
        <f>J491</f>
        <v>46887</v>
      </c>
      <c r="K490" s="38">
        <f>K491</f>
        <v>46887</v>
      </c>
      <c r="L490" s="38"/>
      <c r="M490" s="57">
        <f t="shared" si="120"/>
        <v>46887</v>
      </c>
      <c r="N490" s="55"/>
    </row>
    <row r="491" spans="1:14" s="3" customFormat="1" ht="12.75">
      <c r="A491" s="40" t="s">
        <v>171</v>
      </c>
      <c r="B491" s="60" t="s">
        <v>172</v>
      </c>
      <c r="C491" s="38"/>
      <c r="D491" s="38"/>
      <c r="E491" s="38"/>
      <c r="F491" s="38">
        <f>G491+J491</f>
        <v>46887</v>
      </c>
      <c r="G491" s="38"/>
      <c r="H491" s="38"/>
      <c r="I491" s="38"/>
      <c r="J491" s="38">
        <f>K491</f>
        <v>46887</v>
      </c>
      <c r="K491" s="81">
        <f>357703+19201+2692+996000-376904+1536-53341-85000-815000</f>
        <v>46887</v>
      </c>
      <c r="L491" s="38"/>
      <c r="M491" s="57">
        <f t="shared" si="120"/>
        <v>46887</v>
      </c>
      <c r="N491" s="55"/>
    </row>
    <row r="492" spans="1:14" s="3" customFormat="1" ht="15" customHeight="1" hidden="1">
      <c r="A492" s="9" t="s">
        <v>206</v>
      </c>
      <c r="B492" s="4" t="s">
        <v>210</v>
      </c>
      <c r="C492" s="27">
        <f>C493</f>
        <v>0</v>
      </c>
      <c r="D492" s="27">
        <f aca="true" t="shared" si="122" ref="D492:L492">D493</f>
        <v>0</v>
      </c>
      <c r="E492" s="27">
        <f t="shared" si="122"/>
        <v>0</v>
      </c>
      <c r="F492" s="38">
        <f>G492+J492</f>
        <v>0</v>
      </c>
      <c r="G492" s="27">
        <f t="shared" si="122"/>
        <v>0</v>
      </c>
      <c r="H492" s="27">
        <f t="shared" si="122"/>
        <v>0</v>
      </c>
      <c r="I492" s="27">
        <f t="shared" si="122"/>
        <v>0</v>
      </c>
      <c r="J492" s="27">
        <f t="shared" si="122"/>
        <v>0</v>
      </c>
      <c r="K492" s="27">
        <f t="shared" si="122"/>
        <v>0</v>
      </c>
      <c r="L492" s="27">
        <f t="shared" si="122"/>
        <v>0</v>
      </c>
      <c r="M492" s="27">
        <f t="shared" si="120"/>
        <v>0</v>
      </c>
      <c r="N492" s="55"/>
    </row>
    <row r="493" spans="1:14" s="3" customFormat="1" ht="26.25" customHeight="1" hidden="1">
      <c r="A493" s="9" t="s">
        <v>114</v>
      </c>
      <c r="B493" s="4" t="s">
        <v>166</v>
      </c>
      <c r="C493" s="27"/>
      <c r="D493" s="27"/>
      <c r="E493" s="27"/>
      <c r="F493" s="38">
        <f>G493+J493</f>
        <v>0</v>
      </c>
      <c r="G493" s="27"/>
      <c r="H493" s="27"/>
      <c r="I493" s="27"/>
      <c r="J493" s="27"/>
      <c r="K493" s="27"/>
      <c r="L493" s="27"/>
      <c r="M493" s="27">
        <f t="shared" si="120"/>
        <v>0</v>
      </c>
      <c r="N493" s="55"/>
    </row>
    <row r="494" spans="1:14" s="3" customFormat="1" ht="21.75" customHeight="1">
      <c r="A494" s="9" t="s">
        <v>208</v>
      </c>
      <c r="B494" s="62" t="s">
        <v>209</v>
      </c>
      <c r="C494" s="27">
        <f>C495</f>
        <v>253525</v>
      </c>
      <c r="D494" s="27"/>
      <c r="E494" s="27"/>
      <c r="F494" s="27"/>
      <c r="G494" s="27"/>
      <c r="H494" s="27"/>
      <c r="I494" s="27"/>
      <c r="J494" s="27"/>
      <c r="K494" s="27"/>
      <c r="L494" s="27"/>
      <c r="M494" s="27">
        <f t="shared" si="120"/>
        <v>253525</v>
      </c>
      <c r="N494" s="55"/>
    </row>
    <row r="495" spans="1:14" s="3" customFormat="1" ht="12.75">
      <c r="A495" s="9" t="s">
        <v>115</v>
      </c>
      <c r="B495" s="4" t="s">
        <v>149</v>
      </c>
      <c r="C495" s="27">
        <f>SUM(C496:C501)</f>
        <v>253525</v>
      </c>
      <c r="D495" s="27"/>
      <c r="E495" s="27"/>
      <c r="F495" s="27"/>
      <c r="G495" s="27"/>
      <c r="H495" s="27"/>
      <c r="I495" s="27"/>
      <c r="J495" s="27"/>
      <c r="K495" s="27"/>
      <c r="L495" s="27"/>
      <c r="M495" s="27">
        <f t="shared" si="120"/>
        <v>253525</v>
      </c>
      <c r="N495" s="55"/>
    </row>
    <row r="496" spans="1:14" s="3" customFormat="1" ht="38.25" hidden="1">
      <c r="A496" s="9"/>
      <c r="B496" s="4" t="s">
        <v>381</v>
      </c>
      <c r="C496" s="27">
        <v>86135</v>
      </c>
      <c r="D496" s="27"/>
      <c r="E496" s="27"/>
      <c r="F496" s="27"/>
      <c r="G496" s="27"/>
      <c r="H496" s="27"/>
      <c r="I496" s="27"/>
      <c r="J496" s="27"/>
      <c r="K496" s="27"/>
      <c r="L496" s="27"/>
      <c r="M496" s="27">
        <f t="shared" si="120"/>
        <v>86135</v>
      </c>
      <c r="N496" s="55"/>
    </row>
    <row r="497" spans="1:14" s="3" customFormat="1" ht="25.5" hidden="1">
      <c r="A497" s="9"/>
      <c r="B497" s="73" t="s">
        <v>16</v>
      </c>
      <c r="C497" s="27">
        <f>99900+133200-116352</f>
        <v>116748</v>
      </c>
      <c r="D497" s="27"/>
      <c r="E497" s="27"/>
      <c r="F497" s="27"/>
      <c r="G497" s="27"/>
      <c r="H497" s="27"/>
      <c r="I497" s="27"/>
      <c r="J497" s="27"/>
      <c r="K497" s="27"/>
      <c r="L497" s="27"/>
      <c r="M497" s="27"/>
      <c r="N497" s="55"/>
    </row>
    <row r="498" spans="1:14" s="3" customFormat="1" ht="25.5" hidden="1">
      <c r="A498" s="9"/>
      <c r="B498" s="4" t="s">
        <v>13</v>
      </c>
      <c r="C498" s="27">
        <v>20991</v>
      </c>
      <c r="D498" s="27"/>
      <c r="E498" s="27"/>
      <c r="F498" s="27"/>
      <c r="G498" s="27"/>
      <c r="H498" s="27"/>
      <c r="I498" s="27"/>
      <c r="J498" s="27"/>
      <c r="K498" s="27"/>
      <c r="L498" s="27"/>
      <c r="M498" s="27">
        <f t="shared" si="120"/>
        <v>20991</v>
      </c>
      <c r="N498" s="55"/>
    </row>
    <row r="499" spans="1:14" s="3" customFormat="1" ht="25.5" hidden="1">
      <c r="A499" s="9"/>
      <c r="B499" s="4" t="s">
        <v>28</v>
      </c>
      <c r="C499" s="27">
        <f>3236+5100</f>
        <v>8336</v>
      </c>
      <c r="D499" s="27"/>
      <c r="E499" s="27"/>
      <c r="F499" s="27"/>
      <c r="G499" s="27"/>
      <c r="H499" s="27"/>
      <c r="I499" s="27"/>
      <c r="J499" s="27"/>
      <c r="K499" s="27"/>
      <c r="L499" s="27"/>
      <c r="M499" s="27">
        <f t="shared" si="120"/>
        <v>8336</v>
      </c>
      <c r="N499" s="55"/>
    </row>
    <row r="500" spans="1:14" s="3" customFormat="1" ht="51" hidden="1">
      <c r="A500" s="9"/>
      <c r="B500" s="4" t="s">
        <v>36</v>
      </c>
      <c r="C500" s="27">
        <v>20000</v>
      </c>
      <c r="D500" s="27"/>
      <c r="E500" s="27"/>
      <c r="F500" s="27"/>
      <c r="G500" s="27"/>
      <c r="H500" s="27"/>
      <c r="I500" s="27"/>
      <c r="J500" s="27"/>
      <c r="K500" s="27"/>
      <c r="L500" s="27"/>
      <c r="M500" s="27"/>
      <c r="N500" s="55"/>
    </row>
    <row r="501" spans="1:14" s="3" customFormat="1" ht="24" hidden="1">
      <c r="A501" s="9"/>
      <c r="B501" s="39" t="s">
        <v>288</v>
      </c>
      <c r="C501" s="27">
        <f>6865-5550</f>
        <v>1315</v>
      </c>
      <c r="D501" s="27"/>
      <c r="E501" s="27"/>
      <c r="F501" s="27"/>
      <c r="G501" s="27"/>
      <c r="H501" s="27"/>
      <c r="I501" s="27"/>
      <c r="J501" s="27"/>
      <c r="K501" s="27"/>
      <c r="L501" s="27"/>
      <c r="M501" s="27"/>
      <c r="N501" s="55"/>
    </row>
    <row r="502" spans="1:14" s="19" customFormat="1" ht="38.25">
      <c r="A502" s="18" t="s">
        <v>358</v>
      </c>
      <c r="B502" s="20" t="s">
        <v>331</v>
      </c>
      <c r="C502" s="30">
        <f>C503+C505+C509+C511+C507</f>
        <v>5475967</v>
      </c>
      <c r="D502" s="30">
        <f>D503+D505+D509+D511+D507</f>
        <v>2327639</v>
      </c>
      <c r="E502" s="30">
        <f>E503+E505+E509+E511+E507</f>
        <v>383143</v>
      </c>
      <c r="F502" s="30">
        <f>G502+J502</f>
        <v>189702</v>
      </c>
      <c r="G502" s="30">
        <f aca="true" t="shared" si="123" ref="G502:L502">G503+G505+G509+G511+G507</f>
        <v>182727</v>
      </c>
      <c r="H502" s="30">
        <f t="shared" si="123"/>
        <v>0</v>
      </c>
      <c r="I502" s="30">
        <f t="shared" si="123"/>
        <v>0</v>
      </c>
      <c r="J502" s="30">
        <f t="shared" si="123"/>
        <v>6975</v>
      </c>
      <c r="K502" s="30">
        <f t="shared" si="123"/>
        <v>6975</v>
      </c>
      <c r="L502" s="30">
        <f t="shared" si="123"/>
        <v>0</v>
      </c>
      <c r="M502" s="30">
        <f t="shared" si="120"/>
        <v>5665669</v>
      </c>
      <c r="N502" s="55"/>
    </row>
    <row r="503" spans="1:14" s="3" customFormat="1" ht="12.75">
      <c r="A503" s="9" t="s">
        <v>199</v>
      </c>
      <c r="B503" s="12" t="s">
        <v>200</v>
      </c>
      <c r="C503" s="26">
        <f>C504</f>
        <v>3911847</v>
      </c>
      <c r="D503" s="26">
        <f>D504</f>
        <v>2327639</v>
      </c>
      <c r="E503" s="26">
        <f>E504</f>
        <v>383143</v>
      </c>
      <c r="F503" s="26">
        <f>G503+J503</f>
        <v>141292</v>
      </c>
      <c r="G503" s="26">
        <f aca="true" t="shared" si="124" ref="G503:L503">G504</f>
        <v>134317</v>
      </c>
      <c r="H503" s="26">
        <f t="shared" si="124"/>
        <v>0</v>
      </c>
      <c r="I503" s="26">
        <f t="shared" si="124"/>
        <v>0</v>
      </c>
      <c r="J503" s="26">
        <f t="shared" si="124"/>
        <v>6975</v>
      </c>
      <c r="K503" s="26">
        <f t="shared" si="124"/>
        <v>6975</v>
      </c>
      <c r="L503" s="26">
        <f t="shared" si="124"/>
        <v>0</v>
      </c>
      <c r="M503" s="26">
        <f t="shared" si="120"/>
        <v>4053139</v>
      </c>
      <c r="N503" s="55"/>
    </row>
    <row r="504" spans="1:14" s="5" customFormat="1" ht="12.75">
      <c r="A504" s="8" t="s">
        <v>76</v>
      </c>
      <c r="B504" s="2" t="s">
        <v>77</v>
      </c>
      <c r="C504" s="146">
        <f>3769253+46199+7270+27104+20618+9149-346+32600</f>
        <v>3911847</v>
      </c>
      <c r="D504" s="146">
        <f>2291272+19167+17200</f>
        <v>2327639</v>
      </c>
      <c r="E504" s="24">
        <v>383143</v>
      </c>
      <c r="F504" s="26">
        <f>G504+J504</f>
        <v>141292</v>
      </c>
      <c r="G504" s="24">
        <v>134317</v>
      </c>
      <c r="H504" s="24"/>
      <c r="I504" s="24"/>
      <c r="J504" s="24">
        <f>6975</f>
        <v>6975</v>
      </c>
      <c r="K504" s="24">
        <f>J504</f>
        <v>6975</v>
      </c>
      <c r="L504" s="24"/>
      <c r="M504" s="26">
        <f t="shared" si="120"/>
        <v>4053139</v>
      </c>
      <c r="N504" s="55"/>
    </row>
    <row r="505" spans="1:14" s="3" customFormat="1" ht="12.75">
      <c r="A505" s="9" t="s">
        <v>211</v>
      </c>
      <c r="B505" s="4" t="s">
        <v>213</v>
      </c>
      <c r="C505" s="27">
        <f>C506</f>
        <v>858449</v>
      </c>
      <c r="D505" s="27">
        <f aca="true" t="shared" si="125" ref="D505:L505">D506</f>
        <v>0</v>
      </c>
      <c r="E505" s="27">
        <f t="shared" si="125"/>
        <v>0</v>
      </c>
      <c r="F505" s="26">
        <f>G505+J505</f>
        <v>0</v>
      </c>
      <c r="G505" s="27">
        <f t="shared" si="125"/>
        <v>0</v>
      </c>
      <c r="H505" s="27">
        <f t="shared" si="125"/>
        <v>0</v>
      </c>
      <c r="I505" s="27">
        <f t="shared" si="125"/>
        <v>0</v>
      </c>
      <c r="J505" s="27">
        <f t="shared" si="125"/>
        <v>0</v>
      </c>
      <c r="K505" s="27">
        <f t="shared" si="125"/>
        <v>0</v>
      </c>
      <c r="L505" s="27">
        <f t="shared" si="125"/>
        <v>0</v>
      </c>
      <c r="M505" s="26">
        <f t="shared" si="120"/>
        <v>858449</v>
      </c>
      <c r="N505" s="55"/>
    </row>
    <row r="506" spans="1:14" s="3" customFormat="1" ht="12.75">
      <c r="A506" s="9" t="s">
        <v>285</v>
      </c>
      <c r="B506" s="4" t="s">
        <v>291</v>
      </c>
      <c r="C506" s="27">
        <f>751794+66655+40000</f>
        <v>858449</v>
      </c>
      <c r="D506" s="27"/>
      <c r="E506" s="27"/>
      <c r="F506" s="26">
        <f>G506+J506</f>
        <v>0</v>
      </c>
      <c r="G506" s="27"/>
      <c r="H506" s="27"/>
      <c r="I506" s="27"/>
      <c r="J506" s="27">
        <f>K506</f>
        <v>0</v>
      </c>
      <c r="K506" s="27">
        <f>(5200)-(5200)</f>
        <v>0</v>
      </c>
      <c r="L506" s="27"/>
      <c r="M506" s="26">
        <f t="shared" si="120"/>
        <v>858449</v>
      </c>
      <c r="N506" s="55"/>
    </row>
    <row r="507" spans="1:14" s="3" customFormat="1" ht="12.75">
      <c r="A507" s="40" t="s">
        <v>216</v>
      </c>
      <c r="B507" s="36" t="s">
        <v>119</v>
      </c>
      <c r="C507" s="27">
        <f>C508</f>
        <v>246500</v>
      </c>
      <c r="D507" s="27"/>
      <c r="E507" s="27"/>
      <c r="F507" s="27"/>
      <c r="G507" s="27"/>
      <c r="H507" s="27"/>
      <c r="I507" s="27"/>
      <c r="J507" s="27"/>
      <c r="K507" s="27"/>
      <c r="L507" s="27"/>
      <c r="M507" s="26">
        <f t="shared" si="120"/>
        <v>246500</v>
      </c>
      <c r="N507" s="55"/>
    </row>
    <row r="508" spans="1:14" s="3" customFormat="1" ht="12.75">
      <c r="A508" s="40" t="s">
        <v>173</v>
      </c>
      <c r="B508" s="62" t="s">
        <v>116</v>
      </c>
      <c r="C508" s="27">
        <v>246500</v>
      </c>
      <c r="D508" s="27"/>
      <c r="E508" s="27"/>
      <c r="F508" s="27"/>
      <c r="G508" s="27"/>
      <c r="H508" s="27"/>
      <c r="I508" s="27"/>
      <c r="J508" s="27"/>
      <c r="K508" s="27"/>
      <c r="L508" s="27"/>
      <c r="M508" s="26">
        <f t="shared" si="120"/>
        <v>246500</v>
      </c>
      <c r="N508" s="55"/>
    </row>
    <row r="509" spans="1:14" s="3" customFormat="1" ht="12.75">
      <c r="A509" s="9" t="s">
        <v>206</v>
      </c>
      <c r="B509" s="4" t="s">
        <v>210</v>
      </c>
      <c r="C509" s="27">
        <f>C510</f>
        <v>0</v>
      </c>
      <c r="D509" s="27">
        <f aca="true" t="shared" si="126" ref="D509:L509">D510</f>
        <v>0</v>
      </c>
      <c r="E509" s="27">
        <f t="shared" si="126"/>
        <v>0</v>
      </c>
      <c r="F509" s="27">
        <f t="shared" si="126"/>
        <v>48410</v>
      </c>
      <c r="G509" s="27">
        <f t="shared" si="126"/>
        <v>48410</v>
      </c>
      <c r="H509" s="27">
        <f t="shared" si="126"/>
        <v>0</v>
      </c>
      <c r="I509" s="27">
        <f t="shared" si="126"/>
        <v>0</v>
      </c>
      <c r="J509" s="27">
        <f t="shared" si="126"/>
        <v>0</v>
      </c>
      <c r="K509" s="27">
        <f t="shared" si="126"/>
        <v>0</v>
      </c>
      <c r="L509" s="27">
        <f t="shared" si="126"/>
        <v>0</v>
      </c>
      <c r="M509" s="26">
        <f t="shared" si="120"/>
        <v>48410</v>
      </c>
      <c r="N509" s="55"/>
    </row>
    <row r="510" spans="1:14" s="3" customFormat="1" ht="78" customHeight="1">
      <c r="A510" s="9" t="s">
        <v>114</v>
      </c>
      <c r="B510" s="78" t="s">
        <v>294</v>
      </c>
      <c r="C510" s="27"/>
      <c r="D510" s="27"/>
      <c r="E510" s="27"/>
      <c r="F510" s="27">
        <f>G510+J510</f>
        <v>48410</v>
      </c>
      <c r="G510" s="27">
        <f>104000+24410-30000-50000</f>
        <v>48410</v>
      </c>
      <c r="H510" s="27"/>
      <c r="I510" s="27"/>
      <c r="J510" s="27"/>
      <c r="K510" s="27"/>
      <c r="L510" s="27"/>
      <c r="M510" s="26">
        <f t="shared" si="120"/>
        <v>48410</v>
      </c>
      <c r="N510" s="55"/>
    </row>
    <row r="511" spans="1:14" s="3" customFormat="1" ht="25.5" customHeight="1">
      <c r="A511" s="9" t="s">
        <v>208</v>
      </c>
      <c r="B511" s="62" t="s">
        <v>209</v>
      </c>
      <c r="C511" s="27">
        <f>C512</f>
        <v>459171</v>
      </c>
      <c r="D511" s="27">
        <f aca="true" t="shared" si="127" ref="D511:L511">D512</f>
        <v>0</v>
      </c>
      <c r="E511" s="27">
        <f t="shared" si="127"/>
        <v>0</v>
      </c>
      <c r="F511" s="27">
        <f t="shared" si="127"/>
        <v>0</v>
      </c>
      <c r="G511" s="27">
        <f t="shared" si="127"/>
        <v>0</v>
      </c>
      <c r="H511" s="27">
        <f t="shared" si="127"/>
        <v>0</v>
      </c>
      <c r="I511" s="27">
        <f t="shared" si="127"/>
        <v>0</v>
      </c>
      <c r="J511" s="27">
        <f t="shared" si="127"/>
        <v>0</v>
      </c>
      <c r="K511" s="27">
        <f t="shared" si="127"/>
        <v>0</v>
      </c>
      <c r="L511" s="27">
        <f t="shared" si="127"/>
        <v>0</v>
      </c>
      <c r="M511" s="26">
        <f t="shared" si="120"/>
        <v>459171</v>
      </c>
      <c r="N511" s="55"/>
    </row>
    <row r="512" spans="1:14" s="3" customFormat="1" ht="12.75">
      <c r="A512" s="9" t="s">
        <v>115</v>
      </c>
      <c r="B512" s="4" t="s">
        <v>149</v>
      </c>
      <c r="C512" s="27">
        <f>SUM(C513:C519)</f>
        <v>459171</v>
      </c>
      <c r="D512" s="27"/>
      <c r="E512" s="27"/>
      <c r="F512" s="27"/>
      <c r="G512" s="27"/>
      <c r="H512" s="27"/>
      <c r="I512" s="27"/>
      <c r="J512" s="27"/>
      <c r="K512" s="27"/>
      <c r="L512" s="27"/>
      <c r="M512" s="26">
        <f t="shared" si="120"/>
        <v>459171</v>
      </c>
      <c r="N512" s="55"/>
    </row>
    <row r="513" spans="1:14" s="3" customFormat="1" ht="38.25" hidden="1">
      <c r="A513" s="9"/>
      <c r="B513" s="4" t="s">
        <v>381</v>
      </c>
      <c r="C513" s="27">
        <v>195238</v>
      </c>
      <c r="D513" s="27"/>
      <c r="E513" s="27"/>
      <c r="F513" s="27"/>
      <c r="G513" s="27"/>
      <c r="H513" s="27"/>
      <c r="I513" s="27"/>
      <c r="J513" s="27"/>
      <c r="K513" s="27"/>
      <c r="L513" s="27"/>
      <c r="M513" s="26">
        <f>C513+F513</f>
        <v>195238</v>
      </c>
      <c r="N513" s="55"/>
    </row>
    <row r="514" spans="1:14" s="3" customFormat="1" ht="38.25" customHeight="1" hidden="1">
      <c r="A514" s="9"/>
      <c r="B514" s="4" t="s">
        <v>25</v>
      </c>
      <c r="C514" s="27">
        <v>1000</v>
      </c>
      <c r="D514" s="27"/>
      <c r="E514" s="27"/>
      <c r="F514" s="27"/>
      <c r="G514" s="27"/>
      <c r="H514" s="27"/>
      <c r="I514" s="27"/>
      <c r="J514" s="27"/>
      <c r="K514" s="27"/>
      <c r="L514" s="27"/>
      <c r="M514" s="26">
        <f>C514+F514</f>
        <v>1000</v>
      </c>
      <c r="N514" s="55"/>
    </row>
    <row r="515" spans="1:14" s="3" customFormat="1" ht="23.25" customHeight="1" hidden="1">
      <c r="A515" s="9"/>
      <c r="B515" s="4" t="s">
        <v>13</v>
      </c>
      <c r="C515" s="27">
        <v>63468</v>
      </c>
      <c r="D515" s="27"/>
      <c r="E515" s="27"/>
      <c r="F515" s="27"/>
      <c r="G515" s="27"/>
      <c r="H515" s="27"/>
      <c r="I515" s="27"/>
      <c r="J515" s="27"/>
      <c r="K515" s="27"/>
      <c r="L515" s="27"/>
      <c r="M515" s="26">
        <f t="shared" si="120"/>
        <v>63468</v>
      </c>
      <c r="N515" s="55"/>
    </row>
    <row r="516" spans="1:14" s="3" customFormat="1" ht="23.25" customHeight="1" hidden="1">
      <c r="A516" s="9"/>
      <c r="B516" s="73" t="s">
        <v>16</v>
      </c>
      <c r="C516" s="27">
        <f>99900+166500-100246</f>
        <v>166154</v>
      </c>
      <c r="D516" s="27"/>
      <c r="E516" s="27"/>
      <c r="F516" s="27"/>
      <c r="G516" s="27"/>
      <c r="H516" s="27"/>
      <c r="I516" s="27"/>
      <c r="J516" s="27"/>
      <c r="K516" s="27"/>
      <c r="L516" s="27"/>
      <c r="M516" s="26">
        <f t="shared" si="120"/>
        <v>166154</v>
      </c>
      <c r="N516" s="55"/>
    </row>
    <row r="517" spans="1:14" s="3" customFormat="1" ht="24.75" customHeight="1" hidden="1">
      <c r="A517" s="9"/>
      <c r="B517" s="4" t="s">
        <v>28</v>
      </c>
      <c r="C517" s="27">
        <f>3924+8500</f>
        <v>12424</v>
      </c>
      <c r="D517" s="27"/>
      <c r="E517" s="27"/>
      <c r="F517" s="27"/>
      <c r="G517" s="27"/>
      <c r="H517" s="27"/>
      <c r="I517" s="27"/>
      <c r="J517" s="27"/>
      <c r="K517" s="27"/>
      <c r="L517" s="27"/>
      <c r="M517" s="26">
        <f t="shared" si="120"/>
        <v>12424</v>
      </c>
      <c r="N517" s="55"/>
    </row>
    <row r="518" spans="1:14" s="3" customFormat="1" ht="24.75" customHeight="1" hidden="1">
      <c r="A518" s="9"/>
      <c r="B518" s="4" t="s">
        <v>36</v>
      </c>
      <c r="C518" s="27">
        <v>20000</v>
      </c>
      <c r="D518" s="27"/>
      <c r="E518" s="27"/>
      <c r="F518" s="27"/>
      <c r="G518" s="27"/>
      <c r="H518" s="27"/>
      <c r="I518" s="27"/>
      <c r="J518" s="27"/>
      <c r="K518" s="27"/>
      <c r="L518" s="27"/>
      <c r="M518" s="26"/>
      <c r="N518" s="55"/>
    </row>
    <row r="519" spans="1:14" s="3" customFormat="1" ht="24.75" customHeight="1" hidden="1">
      <c r="A519" s="9"/>
      <c r="B519" s="39" t="s">
        <v>288</v>
      </c>
      <c r="C519" s="27">
        <f>1447-560</f>
        <v>887</v>
      </c>
      <c r="D519" s="27"/>
      <c r="E519" s="27"/>
      <c r="F519" s="27"/>
      <c r="G519" s="27"/>
      <c r="H519" s="27"/>
      <c r="I519" s="27"/>
      <c r="J519" s="27"/>
      <c r="K519" s="27"/>
      <c r="L519" s="27"/>
      <c r="M519" s="26"/>
      <c r="N519" s="55"/>
    </row>
    <row r="520" spans="1:14" s="19" customFormat="1" ht="37.5" customHeight="1">
      <c r="A520" s="23" t="s">
        <v>359</v>
      </c>
      <c r="B520" s="20" t="s">
        <v>329</v>
      </c>
      <c r="C520" s="31">
        <f>C521+C523+C527+C529</f>
        <v>4943516</v>
      </c>
      <c r="D520" s="31">
        <f aca="true" t="shared" si="128" ref="D520:I520">D521+D523+D527+D529</f>
        <v>2252695</v>
      </c>
      <c r="E520" s="31">
        <f t="shared" si="128"/>
        <v>398020</v>
      </c>
      <c r="F520" s="31">
        <f aca="true" t="shared" si="129" ref="F520:F526">G520+J520</f>
        <v>1185897</v>
      </c>
      <c r="G520" s="31">
        <f>G521+G523+G527+G529</f>
        <v>107312</v>
      </c>
      <c r="H520" s="31">
        <f t="shared" si="128"/>
        <v>0</v>
      </c>
      <c r="I520" s="31">
        <f t="shared" si="128"/>
        <v>0</v>
      </c>
      <c r="J520" s="31">
        <f>J521+J523+J527+J529+J525</f>
        <v>1078585</v>
      </c>
      <c r="K520" s="31">
        <f>K521+K523+K527+K529+K525</f>
        <v>1078585</v>
      </c>
      <c r="L520" s="31">
        <f>L521+L523+L527+L529+L525</f>
        <v>0</v>
      </c>
      <c r="M520" s="31">
        <f t="shared" si="120"/>
        <v>6129413</v>
      </c>
      <c r="N520" s="55"/>
    </row>
    <row r="521" spans="1:14" s="3" customFormat="1" ht="12.75">
      <c r="A521" s="14" t="s">
        <v>199</v>
      </c>
      <c r="B521" s="12" t="s">
        <v>200</v>
      </c>
      <c r="C521" s="27">
        <f>C522</f>
        <v>3846971</v>
      </c>
      <c r="D521" s="27">
        <f>D522</f>
        <v>2252695</v>
      </c>
      <c r="E521" s="27">
        <f>E522</f>
        <v>397345</v>
      </c>
      <c r="F521" s="27">
        <f t="shared" si="129"/>
        <v>52890</v>
      </c>
      <c r="G521" s="27">
        <f aca="true" t="shared" si="130" ref="G521:L521">G522</f>
        <v>37150</v>
      </c>
      <c r="H521" s="27">
        <f t="shared" si="130"/>
        <v>0</v>
      </c>
      <c r="I521" s="27">
        <f t="shared" si="130"/>
        <v>0</v>
      </c>
      <c r="J521" s="27">
        <f t="shared" si="130"/>
        <v>15740</v>
      </c>
      <c r="K521" s="27">
        <f t="shared" si="130"/>
        <v>15740</v>
      </c>
      <c r="L521" s="27">
        <f t="shared" si="130"/>
        <v>0</v>
      </c>
      <c r="M521" s="27">
        <f t="shared" si="120"/>
        <v>3899861</v>
      </c>
      <c r="N521" s="55"/>
    </row>
    <row r="522" spans="1:14" s="5" customFormat="1" ht="12.75">
      <c r="A522" s="16" t="s">
        <v>76</v>
      </c>
      <c r="B522" s="2" t="s">
        <v>77</v>
      </c>
      <c r="C522" s="27">
        <f>3777534+99353-15960-13340+28700-29316</f>
        <v>3846971</v>
      </c>
      <c r="D522" s="27">
        <f>2281995-15960-13340</f>
        <v>2252695</v>
      </c>
      <c r="E522" s="27">
        <f>426661-29316</f>
        <v>397345</v>
      </c>
      <c r="F522" s="27">
        <f t="shared" si="129"/>
        <v>52890</v>
      </c>
      <c r="G522" s="27">
        <v>37150</v>
      </c>
      <c r="H522" s="27"/>
      <c r="I522" s="27"/>
      <c r="J522" s="27">
        <f>2896+5869+6975</f>
        <v>15740</v>
      </c>
      <c r="K522" s="27">
        <f>J522</f>
        <v>15740</v>
      </c>
      <c r="L522" s="27"/>
      <c r="M522" s="27">
        <f t="shared" si="120"/>
        <v>3899861</v>
      </c>
      <c r="N522" s="55"/>
    </row>
    <row r="523" spans="1:14" s="3" customFormat="1" ht="12.75">
      <c r="A523" s="9" t="s">
        <v>211</v>
      </c>
      <c r="B523" s="4" t="s">
        <v>213</v>
      </c>
      <c r="C523" s="27">
        <f>C524</f>
        <v>753893</v>
      </c>
      <c r="D523" s="27">
        <f aca="true" t="shared" si="131" ref="D523:L523">D524</f>
        <v>0</v>
      </c>
      <c r="E523" s="27">
        <f t="shared" si="131"/>
        <v>675</v>
      </c>
      <c r="F523" s="27">
        <f t="shared" si="129"/>
        <v>20000</v>
      </c>
      <c r="G523" s="27">
        <f t="shared" si="131"/>
        <v>0</v>
      </c>
      <c r="H523" s="27">
        <f t="shared" si="131"/>
        <v>0</v>
      </c>
      <c r="I523" s="27">
        <f t="shared" si="131"/>
        <v>0</v>
      </c>
      <c r="J523" s="27">
        <f t="shared" si="131"/>
        <v>20000</v>
      </c>
      <c r="K523" s="27">
        <f t="shared" si="131"/>
        <v>20000</v>
      </c>
      <c r="L523" s="27">
        <f t="shared" si="131"/>
        <v>0</v>
      </c>
      <c r="M523" s="27">
        <f t="shared" si="120"/>
        <v>773893</v>
      </c>
      <c r="N523" s="55"/>
    </row>
    <row r="524" spans="1:14" s="3" customFormat="1" ht="12.75">
      <c r="A524" s="9" t="s">
        <v>285</v>
      </c>
      <c r="B524" s="4" t="s">
        <v>291</v>
      </c>
      <c r="C524" s="27">
        <f>640000+73893+40000</f>
        <v>753893</v>
      </c>
      <c r="D524" s="27"/>
      <c r="E524" s="27">
        <v>675</v>
      </c>
      <c r="F524" s="27">
        <f t="shared" si="129"/>
        <v>20000</v>
      </c>
      <c r="G524" s="27"/>
      <c r="H524" s="27"/>
      <c r="I524" s="27"/>
      <c r="J524" s="27">
        <v>20000</v>
      </c>
      <c r="K524" s="27">
        <f>J524</f>
        <v>20000</v>
      </c>
      <c r="L524" s="27"/>
      <c r="M524" s="27">
        <f t="shared" si="120"/>
        <v>773893</v>
      </c>
      <c r="N524" s="55"/>
    </row>
    <row r="525" spans="1:14" s="3" customFormat="1" ht="12.75">
      <c r="A525" s="9" t="s">
        <v>203</v>
      </c>
      <c r="B525" s="4" t="s">
        <v>110</v>
      </c>
      <c r="C525" s="27"/>
      <c r="D525" s="27"/>
      <c r="E525" s="27"/>
      <c r="F525" s="27">
        <f t="shared" si="129"/>
        <v>1042845</v>
      </c>
      <c r="G525" s="27"/>
      <c r="H525" s="27"/>
      <c r="I525" s="27"/>
      <c r="J525" s="27">
        <f>J526</f>
        <v>1042845</v>
      </c>
      <c r="K525" s="27">
        <f>K526</f>
        <v>1042845</v>
      </c>
      <c r="L525" s="27">
        <f>L526</f>
        <v>0</v>
      </c>
      <c r="M525" s="27">
        <f t="shared" si="120"/>
        <v>1042845</v>
      </c>
      <c r="N525" s="55"/>
    </row>
    <row r="526" spans="1:14" s="3" customFormat="1" ht="12.75">
      <c r="A526" s="9" t="s">
        <v>171</v>
      </c>
      <c r="B526" s="4" t="s">
        <v>172</v>
      </c>
      <c r="C526" s="27"/>
      <c r="D526" s="27"/>
      <c r="E526" s="27"/>
      <c r="F526" s="27">
        <f t="shared" si="129"/>
        <v>1042845</v>
      </c>
      <c r="G526" s="27"/>
      <c r="H526" s="27"/>
      <c r="I526" s="27"/>
      <c r="J526" s="27">
        <f>K526</f>
        <v>1042845</v>
      </c>
      <c r="K526" s="27">
        <f>1138480-12623+21734-2018-5869-96859</f>
        <v>1042845</v>
      </c>
      <c r="L526" s="27"/>
      <c r="M526" s="27">
        <f t="shared" si="120"/>
        <v>1042845</v>
      </c>
      <c r="N526" s="55"/>
    </row>
    <row r="527" spans="1:14" s="3" customFormat="1" ht="12.75">
      <c r="A527" s="9" t="s">
        <v>206</v>
      </c>
      <c r="B527" s="4" t="s">
        <v>210</v>
      </c>
      <c r="C527" s="27">
        <f>C528</f>
        <v>0</v>
      </c>
      <c r="D527" s="27">
        <f aca="true" t="shared" si="132" ref="D527:L527">D528</f>
        <v>0</v>
      </c>
      <c r="E527" s="27">
        <f t="shared" si="132"/>
        <v>0</v>
      </c>
      <c r="F527" s="27">
        <f t="shared" si="132"/>
        <v>70162</v>
      </c>
      <c r="G527" s="27">
        <f t="shared" si="132"/>
        <v>70162</v>
      </c>
      <c r="H527" s="27">
        <f t="shared" si="132"/>
        <v>0</v>
      </c>
      <c r="I527" s="27">
        <f t="shared" si="132"/>
        <v>0</v>
      </c>
      <c r="J527" s="27">
        <f t="shared" si="132"/>
        <v>0</v>
      </c>
      <c r="K527" s="27">
        <f t="shared" si="132"/>
        <v>0</v>
      </c>
      <c r="L527" s="27">
        <f t="shared" si="132"/>
        <v>0</v>
      </c>
      <c r="M527" s="27">
        <f t="shared" si="120"/>
        <v>70162</v>
      </c>
      <c r="N527" s="55"/>
    </row>
    <row r="528" spans="1:14" s="3" customFormat="1" ht="79.5" customHeight="1">
      <c r="A528" s="9" t="s">
        <v>114</v>
      </c>
      <c r="B528" s="78" t="s">
        <v>294</v>
      </c>
      <c r="C528" s="27"/>
      <c r="D528" s="27"/>
      <c r="E528" s="27"/>
      <c r="F528" s="27">
        <f>G528+J528</f>
        <v>70162</v>
      </c>
      <c r="G528" s="27">
        <f>30000+20162+10000+10000</f>
        <v>70162</v>
      </c>
      <c r="H528" s="27"/>
      <c r="I528" s="27"/>
      <c r="J528" s="27"/>
      <c r="K528" s="27"/>
      <c r="L528" s="27"/>
      <c r="M528" s="27">
        <f t="shared" si="120"/>
        <v>70162</v>
      </c>
      <c r="N528" s="55"/>
    </row>
    <row r="529" spans="1:14" s="3" customFormat="1" ht="26.25" customHeight="1">
      <c r="A529" s="9" t="s">
        <v>208</v>
      </c>
      <c r="B529" s="62" t="s">
        <v>209</v>
      </c>
      <c r="C529" s="27">
        <f>C530</f>
        <v>342652</v>
      </c>
      <c r="D529" s="27">
        <f aca="true" t="shared" si="133" ref="D529:L529">D530</f>
        <v>0</v>
      </c>
      <c r="E529" s="27">
        <f t="shared" si="133"/>
        <v>0</v>
      </c>
      <c r="F529" s="27">
        <f t="shared" si="133"/>
        <v>0</v>
      </c>
      <c r="G529" s="27">
        <f t="shared" si="133"/>
        <v>0</v>
      </c>
      <c r="H529" s="27">
        <f t="shared" si="133"/>
        <v>0</v>
      </c>
      <c r="I529" s="27">
        <f t="shared" si="133"/>
        <v>0</v>
      </c>
      <c r="J529" s="27">
        <f t="shared" si="133"/>
        <v>0</v>
      </c>
      <c r="K529" s="27">
        <f t="shared" si="133"/>
        <v>0</v>
      </c>
      <c r="L529" s="27">
        <f t="shared" si="133"/>
        <v>0</v>
      </c>
      <c r="M529" s="27">
        <f t="shared" si="120"/>
        <v>342652</v>
      </c>
      <c r="N529" s="55"/>
    </row>
    <row r="530" spans="1:14" s="3" customFormat="1" ht="12.75">
      <c r="A530" s="9" t="s">
        <v>115</v>
      </c>
      <c r="B530" s="4" t="s">
        <v>149</v>
      </c>
      <c r="C530" s="27">
        <f>SUM(C531:C537)</f>
        <v>342652</v>
      </c>
      <c r="D530" s="27"/>
      <c r="E530" s="27"/>
      <c r="F530" s="27"/>
      <c r="G530" s="27"/>
      <c r="H530" s="27"/>
      <c r="I530" s="27"/>
      <c r="J530" s="27"/>
      <c r="K530" s="27"/>
      <c r="L530" s="27"/>
      <c r="M530" s="27">
        <f t="shared" si="120"/>
        <v>342652</v>
      </c>
      <c r="N530" s="55"/>
    </row>
    <row r="531" spans="1:14" s="3" customFormat="1" ht="38.25" hidden="1">
      <c r="A531" s="9"/>
      <c r="B531" s="4" t="s">
        <v>381</v>
      </c>
      <c r="C531" s="27">
        <v>57447</v>
      </c>
      <c r="D531" s="27"/>
      <c r="E531" s="27"/>
      <c r="F531" s="27"/>
      <c r="G531" s="27"/>
      <c r="H531" s="27"/>
      <c r="I531" s="27"/>
      <c r="J531" s="27"/>
      <c r="K531" s="27"/>
      <c r="L531" s="27"/>
      <c r="M531" s="27">
        <f t="shared" si="120"/>
        <v>57447</v>
      </c>
      <c r="N531" s="55"/>
    </row>
    <row r="532" spans="1:14" s="3" customFormat="1" ht="57" customHeight="1" hidden="1">
      <c r="A532" s="87"/>
      <c r="B532" s="4" t="s">
        <v>384</v>
      </c>
      <c r="C532" s="89"/>
      <c r="D532" s="89"/>
      <c r="E532" s="89"/>
      <c r="F532" s="89"/>
      <c r="G532" s="89"/>
      <c r="H532" s="89"/>
      <c r="I532" s="89"/>
      <c r="J532" s="89"/>
      <c r="K532" s="89"/>
      <c r="L532" s="89"/>
      <c r="M532" s="27">
        <f t="shared" si="120"/>
        <v>0</v>
      </c>
      <c r="N532" s="55"/>
    </row>
    <row r="533" spans="1:14" s="3" customFormat="1" ht="24" customHeight="1" hidden="1">
      <c r="A533" s="87"/>
      <c r="B533" s="4" t="s">
        <v>13</v>
      </c>
      <c r="C533" s="89">
        <v>22955</v>
      </c>
      <c r="D533" s="89"/>
      <c r="E533" s="89"/>
      <c r="F533" s="89"/>
      <c r="G533" s="89"/>
      <c r="H533" s="89"/>
      <c r="I533" s="89"/>
      <c r="J533" s="89"/>
      <c r="K533" s="89"/>
      <c r="L533" s="89"/>
      <c r="M533" s="89">
        <f aca="true" t="shared" si="134" ref="M533:M550">C533+F533</f>
        <v>22955</v>
      </c>
      <c r="N533" s="55"/>
    </row>
    <row r="534" spans="1:14" s="3" customFormat="1" ht="24" customHeight="1" hidden="1">
      <c r="A534" s="87"/>
      <c r="B534" s="73" t="s">
        <v>16</v>
      </c>
      <c r="C534" s="89">
        <f>99900+166500-2984-30316</f>
        <v>233100</v>
      </c>
      <c r="D534" s="89"/>
      <c r="E534" s="89"/>
      <c r="F534" s="89"/>
      <c r="G534" s="89"/>
      <c r="H534" s="89"/>
      <c r="I534" s="89"/>
      <c r="J534" s="89"/>
      <c r="K534" s="89"/>
      <c r="L534" s="89"/>
      <c r="M534" s="89"/>
      <c r="N534" s="55"/>
    </row>
    <row r="535" spans="1:14" s="3" customFormat="1" ht="24" customHeight="1" hidden="1">
      <c r="A535" s="87"/>
      <c r="B535" s="4" t="s">
        <v>28</v>
      </c>
      <c r="C535" s="89">
        <f>3236+5100</f>
        <v>8336</v>
      </c>
      <c r="D535" s="89"/>
      <c r="E535" s="89"/>
      <c r="F535" s="89"/>
      <c r="G535" s="89"/>
      <c r="H535" s="89"/>
      <c r="I535" s="89"/>
      <c r="J535" s="89"/>
      <c r="K535" s="89"/>
      <c r="L535" s="89"/>
      <c r="M535" s="89"/>
      <c r="N535" s="55"/>
    </row>
    <row r="536" spans="1:14" s="3" customFormat="1" ht="24" customHeight="1" hidden="1">
      <c r="A536" s="87"/>
      <c r="B536" s="4" t="s">
        <v>36</v>
      </c>
      <c r="C536" s="89">
        <v>20000</v>
      </c>
      <c r="D536" s="89"/>
      <c r="E536" s="89"/>
      <c r="F536" s="89"/>
      <c r="G536" s="89"/>
      <c r="H536" s="89"/>
      <c r="I536" s="89"/>
      <c r="J536" s="89"/>
      <c r="K536" s="89"/>
      <c r="L536" s="89"/>
      <c r="M536" s="89"/>
      <c r="N536" s="55"/>
    </row>
    <row r="537" spans="1:14" s="3" customFormat="1" ht="24" customHeight="1" hidden="1">
      <c r="A537" s="87"/>
      <c r="B537" s="39" t="s">
        <v>288</v>
      </c>
      <c r="C537" s="89">
        <f>2218-1404</f>
        <v>814</v>
      </c>
      <c r="D537" s="89"/>
      <c r="E537" s="89"/>
      <c r="F537" s="89"/>
      <c r="G537" s="89"/>
      <c r="H537" s="89"/>
      <c r="I537" s="89"/>
      <c r="J537" s="89"/>
      <c r="K537" s="89"/>
      <c r="L537" s="89"/>
      <c r="M537" s="89"/>
      <c r="N537" s="55"/>
    </row>
    <row r="538" spans="1:14" s="19" customFormat="1" ht="39" customHeight="1">
      <c r="A538" s="23" t="s">
        <v>360</v>
      </c>
      <c r="B538" s="20" t="s">
        <v>330</v>
      </c>
      <c r="C538" s="31">
        <f>C539+C541+C543+C545</f>
        <v>4806802</v>
      </c>
      <c r="D538" s="31">
        <f aca="true" t="shared" si="135" ref="D538:L538">D539+D541+D543+D545</f>
        <v>2310080</v>
      </c>
      <c r="E538" s="31">
        <f t="shared" si="135"/>
        <v>339419</v>
      </c>
      <c r="F538" s="31">
        <f>G538+J538</f>
        <v>154712</v>
      </c>
      <c r="G538" s="31">
        <f t="shared" si="135"/>
        <v>1349</v>
      </c>
      <c r="H538" s="31">
        <f t="shared" si="135"/>
        <v>0</v>
      </c>
      <c r="I538" s="31">
        <f t="shared" si="135"/>
        <v>0</v>
      </c>
      <c r="J538" s="31">
        <f t="shared" si="135"/>
        <v>153363</v>
      </c>
      <c r="K538" s="31">
        <f t="shared" si="135"/>
        <v>153363</v>
      </c>
      <c r="L538" s="31">
        <f t="shared" si="135"/>
        <v>0</v>
      </c>
      <c r="M538" s="31">
        <f t="shared" si="134"/>
        <v>4961514</v>
      </c>
      <c r="N538" s="55"/>
    </row>
    <row r="539" spans="1:14" s="3" customFormat="1" ht="12.75">
      <c r="A539" s="74" t="s">
        <v>199</v>
      </c>
      <c r="B539" s="75" t="s">
        <v>200</v>
      </c>
      <c r="C539" s="27">
        <f>C540</f>
        <v>3755827</v>
      </c>
      <c r="D539" s="27">
        <f>D540</f>
        <v>2310080</v>
      </c>
      <c r="E539" s="27">
        <f>E540</f>
        <v>339419</v>
      </c>
      <c r="F539" s="27">
        <f>G539+J539</f>
        <v>154712</v>
      </c>
      <c r="G539" s="27">
        <f aca="true" t="shared" si="136" ref="G539:L539">G540</f>
        <v>1349</v>
      </c>
      <c r="H539" s="27">
        <f t="shared" si="136"/>
        <v>0</v>
      </c>
      <c r="I539" s="27">
        <f t="shared" si="136"/>
        <v>0</v>
      </c>
      <c r="J539" s="27">
        <f t="shared" si="136"/>
        <v>153363</v>
      </c>
      <c r="K539" s="27">
        <f t="shared" si="136"/>
        <v>153363</v>
      </c>
      <c r="L539" s="27">
        <f t="shared" si="136"/>
        <v>0</v>
      </c>
      <c r="M539" s="27">
        <f t="shared" si="134"/>
        <v>3910539</v>
      </c>
      <c r="N539" s="55"/>
    </row>
    <row r="540" spans="1:14" s="5" customFormat="1" ht="12.75">
      <c r="A540" s="7" t="s">
        <v>76</v>
      </c>
      <c r="B540" s="76" t="s">
        <v>77</v>
      </c>
      <c r="C540" s="25">
        <f>3832903+4539+7380+10905-8000-100000+8100</f>
        <v>3755827</v>
      </c>
      <c r="D540" s="25">
        <f>2291300+7380+11400</f>
        <v>2310080</v>
      </c>
      <c r="E540" s="25">
        <f>439419-100000</f>
        <v>339419</v>
      </c>
      <c r="F540" s="27">
        <f>G540+J540</f>
        <v>154712</v>
      </c>
      <c r="G540" s="25">
        <v>1349</v>
      </c>
      <c r="H540" s="25"/>
      <c r="I540" s="25"/>
      <c r="J540" s="25">
        <f>146388+6975</f>
        <v>153363</v>
      </c>
      <c r="K540" s="25">
        <f>J540</f>
        <v>153363</v>
      </c>
      <c r="L540" s="25"/>
      <c r="M540" s="27">
        <f t="shared" si="134"/>
        <v>3910539</v>
      </c>
      <c r="N540" s="55"/>
    </row>
    <row r="541" spans="1:14" s="3" customFormat="1" ht="12.75">
      <c r="A541" s="9" t="s">
        <v>211</v>
      </c>
      <c r="B541" s="4" t="s">
        <v>213</v>
      </c>
      <c r="C541" s="27">
        <f>C542</f>
        <v>646283</v>
      </c>
      <c r="D541" s="27">
        <f aca="true" t="shared" si="137" ref="D541:L541">D542</f>
        <v>0</v>
      </c>
      <c r="E541" s="27">
        <f t="shared" si="137"/>
        <v>0</v>
      </c>
      <c r="F541" s="27">
        <f t="shared" si="137"/>
        <v>0</v>
      </c>
      <c r="G541" s="27">
        <f t="shared" si="137"/>
        <v>0</v>
      </c>
      <c r="H541" s="27">
        <f t="shared" si="137"/>
        <v>0</v>
      </c>
      <c r="I541" s="27">
        <f t="shared" si="137"/>
        <v>0</v>
      </c>
      <c r="J541" s="27">
        <f t="shared" si="137"/>
        <v>0</v>
      </c>
      <c r="K541" s="27">
        <f t="shared" si="137"/>
        <v>0</v>
      </c>
      <c r="L541" s="27">
        <f t="shared" si="137"/>
        <v>0</v>
      </c>
      <c r="M541" s="27">
        <f t="shared" si="134"/>
        <v>646283</v>
      </c>
      <c r="N541" s="55"/>
    </row>
    <row r="542" spans="1:14" s="3" customFormat="1" ht="12.75">
      <c r="A542" s="9" t="s">
        <v>285</v>
      </c>
      <c r="B542" s="4" t="s">
        <v>291</v>
      </c>
      <c r="C542" s="27">
        <f>527000+59283+60000</f>
        <v>646283</v>
      </c>
      <c r="D542" s="27"/>
      <c r="E542" s="27"/>
      <c r="F542" s="27"/>
      <c r="G542" s="27"/>
      <c r="H542" s="27"/>
      <c r="I542" s="27"/>
      <c r="J542" s="27"/>
      <c r="K542" s="27"/>
      <c r="L542" s="27"/>
      <c r="M542" s="27">
        <f t="shared" si="134"/>
        <v>646283</v>
      </c>
      <c r="N542" s="55"/>
    </row>
    <row r="543" spans="1:14" s="3" customFormat="1" ht="14.25" customHeight="1" hidden="1">
      <c r="A543" s="9" t="s">
        <v>206</v>
      </c>
      <c r="B543" s="4" t="s">
        <v>210</v>
      </c>
      <c r="C543" s="27">
        <f>C544</f>
        <v>0</v>
      </c>
      <c r="D543" s="27">
        <f aca="true" t="shared" si="138" ref="D543:L543">D544</f>
        <v>0</v>
      </c>
      <c r="E543" s="27">
        <f t="shared" si="138"/>
        <v>0</v>
      </c>
      <c r="F543" s="27">
        <f t="shared" si="138"/>
        <v>0</v>
      </c>
      <c r="G543" s="27">
        <f t="shared" si="138"/>
        <v>0</v>
      </c>
      <c r="H543" s="27">
        <f t="shared" si="138"/>
        <v>0</v>
      </c>
      <c r="I543" s="27">
        <f t="shared" si="138"/>
        <v>0</v>
      </c>
      <c r="J543" s="27">
        <f t="shared" si="138"/>
        <v>0</v>
      </c>
      <c r="K543" s="27">
        <f t="shared" si="138"/>
        <v>0</v>
      </c>
      <c r="L543" s="27">
        <f t="shared" si="138"/>
        <v>0</v>
      </c>
      <c r="M543" s="27">
        <f t="shared" si="134"/>
        <v>0</v>
      </c>
      <c r="N543" s="55"/>
    </row>
    <row r="544" spans="1:14" s="3" customFormat="1" ht="25.5" customHeight="1" hidden="1">
      <c r="A544" s="9" t="s">
        <v>114</v>
      </c>
      <c r="B544" s="132" t="s">
        <v>294</v>
      </c>
      <c r="C544" s="27"/>
      <c r="D544" s="27"/>
      <c r="E544" s="27"/>
      <c r="F544" s="27">
        <f>G544+J544</f>
        <v>0</v>
      </c>
      <c r="G544" s="27"/>
      <c r="H544" s="27"/>
      <c r="I544" s="27"/>
      <c r="J544" s="27"/>
      <c r="K544" s="27"/>
      <c r="L544" s="27"/>
      <c r="M544" s="27">
        <f t="shared" si="134"/>
        <v>0</v>
      </c>
      <c r="N544" s="55"/>
    </row>
    <row r="545" spans="1:14" s="3" customFormat="1" ht="26.25" customHeight="1">
      <c r="A545" s="9" t="s">
        <v>208</v>
      </c>
      <c r="B545" s="132" t="s">
        <v>209</v>
      </c>
      <c r="C545" s="27">
        <f aca="true" t="shared" si="139" ref="C545:L545">C546</f>
        <v>404692</v>
      </c>
      <c r="D545" s="27">
        <f t="shared" si="139"/>
        <v>0</v>
      </c>
      <c r="E545" s="27">
        <f t="shared" si="139"/>
        <v>0</v>
      </c>
      <c r="F545" s="27">
        <f t="shared" si="139"/>
        <v>0</v>
      </c>
      <c r="G545" s="27">
        <f t="shared" si="139"/>
        <v>0</v>
      </c>
      <c r="H545" s="27">
        <f t="shared" si="139"/>
        <v>0</v>
      </c>
      <c r="I545" s="27">
        <f t="shared" si="139"/>
        <v>0</v>
      </c>
      <c r="J545" s="27">
        <f t="shared" si="139"/>
        <v>0</v>
      </c>
      <c r="K545" s="27">
        <f t="shared" si="139"/>
        <v>0</v>
      </c>
      <c r="L545" s="27">
        <f t="shared" si="139"/>
        <v>0</v>
      </c>
      <c r="M545" s="27">
        <f t="shared" si="134"/>
        <v>404692</v>
      </c>
      <c r="N545" s="55"/>
    </row>
    <row r="546" spans="1:14" s="3" customFormat="1" ht="12.75">
      <c r="A546" s="9" t="s">
        <v>115</v>
      </c>
      <c r="B546" s="4" t="s">
        <v>149</v>
      </c>
      <c r="C546" s="27">
        <f>C547+C548+C550+C551+C552+C549</f>
        <v>404692</v>
      </c>
      <c r="D546" s="27"/>
      <c r="E546" s="27"/>
      <c r="F546" s="27">
        <f>F547+F548+F550</f>
        <v>0</v>
      </c>
      <c r="G546" s="27">
        <f aca="true" t="shared" si="140" ref="G546:L546">G547+G548+G550</f>
        <v>0</v>
      </c>
      <c r="H546" s="27">
        <f t="shared" si="140"/>
        <v>0</v>
      </c>
      <c r="I546" s="27">
        <f t="shared" si="140"/>
        <v>0</v>
      </c>
      <c r="J546" s="27">
        <f t="shared" si="140"/>
        <v>0</v>
      </c>
      <c r="K546" s="27">
        <f t="shared" si="140"/>
        <v>0</v>
      </c>
      <c r="L546" s="27">
        <f t="shared" si="140"/>
        <v>0</v>
      </c>
      <c r="M546" s="27">
        <f t="shared" si="134"/>
        <v>404692</v>
      </c>
      <c r="N546" s="55"/>
    </row>
    <row r="547" spans="1:14" s="3" customFormat="1" ht="38.25" hidden="1">
      <c r="A547" s="9"/>
      <c r="B547" s="4" t="s">
        <v>381</v>
      </c>
      <c r="C547" s="27">
        <v>80392</v>
      </c>
      <c r="D547" s="27"/>
      <c r="E547" s="27"/>
      <c r="F547" s="27"/>
      <c r="G547" s="27"/>
      <c r="H547" s="27"/>
      <c r="I547" s="27"/>
      <c r="J547" s="27"/>
      <c r="K547" s="27"/>
      <c r="L547" s="27"/>
      <c r="M547" s="27">
        <f t="shared" si="134"/>
        <v>80392</v>
      </c>
      <c r="N547" s="55"/>
    </row>
    <row r="548" spans="1:14" s="3" customFormat="1" ht="25.5" hidden="1">
      <c r="A548" s="9"/>
      <c r="B548" s="4" t="s">
        <v>13</v>
      </c>
      <c r="C548" s="27">
        <v>60000</v>
      </c>
      <c r="D548" s="27"/>
      <c r="E548" s="27"/>
      <c r="F548" s="27"/>
      <c r="G548" s="27"/>
      <c r="H548" s="27"/>
      <c r="I548" s="27"/>
      <c r="J548" s="27"/>
      <c r="K548" s="27"/>
      <c r="L548" s="27"/>
      <c r="M548" s="27">
        <f t="shared" si="134"/>
        <v>60000</v>
      </c>
      <c r="N548" s="55"/>
    </row>
    <row r="549" spans="1:14" s="3" customFormat="1" ht="25.5" hidden="1">
      <c r="A549" s="9"/>
      <c r="B549" s="73" t="s">
        <v>16</v>
      </c>
      <c r="C549" s="27">
        <f>99900+133200</f>
        <v>233100</v>
      </c>
      <c r="D549" s="27"/>
      <c r="E549" s="27"/>
      <c r="F549" s="27"/>
      <c r="G549" s="27"/>
      <c r="H549" s="27"/>
      <c r="I549" s="27"/>
      <c r="J549" s="27"/>
      <c r="K549" s="27"/>
      <c r="L549" s="27"/>
      <c r="M549" s="27"/>
      <c r="N549" s="55"/>
    </row>
    <row r="550" spans="1:14" s="3" customFormat="1" ht="25.5" hidden="1">
      <c r="A550" s="9"/>
      <c r="B550" s="4" t="s">
        <v>28</v>
      </c>
      <c r="C550" s="27">
        <f>8500</f>
        <v>8500</v>
      </c>
      <c r="D550" s="27"/>
      <c r="E550" s="27"/>
      <c r="F550" s="27">
        <f>G550+J550</f>
        <v>0</v>
      </c>
      <c r="G550" s="27"/>
      <c r="H550" s="27"/>
      <c r="I550" s="27"/>
      <c r="J550" s="27"/>
      <c r="K550" s="27"/>
      <c r="L550" s="27"/>
      <c r="M550" s="27">
        <f t="shared" si="134"/>
        <v>8500</v>
      </c>
      <c r="N550" s="55"/>
    </row>
    <row r="551" spans="1:14" s="3" customFormat="1" ht="51" hidden="1">
      <c r="A551" s="9"/>
      <c r="B551" s="4" t="s">
        <v>36</v>
      </c>
      <c r="C551" s="27">
        <v>20000</v>
      </c>
      <c r="D551" s="27"/>
      <c r="E551" s="27"/>
      <c r="F551" s="27"/>
      <c r="G551" s="27"/>
      <c r="H551" s="27"/>
      <c r="I551" s="27"/>
      <c r="J551" s="27"/>
      <c r="K551" s="27"/>
      <c r="L551" s="27"/>
      <c r="M551" s="27"/>
      <c r="N551" s="55"/>
    </row>
    <row r="552" spans="1:14" s="3" customFormat="1" ht="24" hidden="1">
      <c r="A552" s="9"/>
      <c r="B552" s="39" t="s">
        <v>288</v>
      </c>
      <c r="C552" s="27">
        <f>4134-1434</f>
        <v>2700</v>
      </c>
      <c r="D552" s="27"/>
      <c r="E552" s="27"/>
      <c r="F552" s="27"/>
      <c r="G552" s="27"/>
      <c r="H552" s="27"/>
      <c r="I552" s="27"/>
      <c r="J552" s="27"/>
      <c r="K552" s="27"/>
      <c r="L552" s="27"/>
      <c r="M552" s="27"/>
      <c r="N552" s="55"/>
    </row>
    <row r="553" spans="1:16" ht="19.5" customHeight="1">
      <c r="A553" s="18"/>
      <c r="B553" s="133" t="s">
        <v>120</v>
      </c>
      <c r="C553" s="31">
        <f aca="true" t="shared" si="141" ref="C553:M553">C11+C434+C451+C468+C485+C502+C520+C538+C198+C39+C82+C105+C193+C391+C274+C335+C308+C223+C201+C372+C345+C363+C355+C417+C429+C399+C236+C358+C239+C220</f>
        <v>2642465854</v>
      </c>
      <c r="D553" s="31">
        <f t="shared" si="141"/>
        <v>903827976</v>
      </c>
      <c r="E553" s="31">
        <f t="shared" si="141"/>
        <v>179882705</v>
      </c>
      <c r="F553" s="31">
        <f t="shared" si="141"/>
        <v>349091379</v>
      </c>
      <c r="G553" s="31">
        <f t="shared" si="141"/>
        <v>74481969</v>
      </c>
      <c r="H553" s="31">
        <f t="shared" si="141"/>
        <v>15681352</v>
      </c>
      <c r="I553" s="31">
        <f t="shared" si="141"/>
        <v>2121160</v>
      </c>
      <c r="J553" s="31">
        <f t="shared" si="141"/>
        <v>274609410</v>
      </c>
      <c r="K553" s="31">
        <f t="shared" si="141"/>
        <v>200276737</v>
      </c>
      <c r="L553" s="31">
        <f t="shared" si="141"/>
        <v>31180351</v>
      </c>
      <c r="M553" s="31">
        <f t="shared" si="141"/>
        <v>2991557233</v>
      </c>
      <c r="N553" s="55"/>
      <c r="P553" s="61"/>
    </row>
    <row r="554" spans="1:13" ht="15">
      <c r="A554" s="122"/>
      <c r="B554" s="123"/>
      <c r="C554" s="124"/>
      <c r="D554" s="124"/>
      <c r="E554" s="124"/>
      <c r="F554" s="124"/>
      <c r="G554" s="124"/>
      <c r="H554" s="124"/>
      <c r="I554" s="124"/>
      <c r="J554" s="124"/>
      <c r="K554" s="124"/>
      <c r="L554" s="124"/>
      <c r="M554" s="125"/>
    </row>
    <row r="555" spans="1:13" ht="12.75">
      <c r="A555" s="126"/>
      <c r="B555" s="127"/>
      <c r="C555" s="128"/>
      <c r="D555" s="129"/>
      <c r="E555" s="129"/>
      <c r="F555" s="129"/>
      <c r="G555" s="129"/>
      <c r="H555" s="129"/>
      <c r="I555" s="129"/>
      <c r="J555" s="129"/>
      <c r="K555" s="129"/>
      <c r="L555" s="129"/>
      <c r="M555" s="5"/>
    </row>
    <row r="556" spans="1:13" ht="12.75" hidden="1">
      <c r="A556" s="130"/>
      <c r="B556" s="5"/>
      <c r="C556" s="5"/>
      <c r="D556" s="5"/>
      <c r="E556" s="5"/>
      <c r="F556" s="5"/>
      <c r="G556" s="5"/>
      <c r="H556" s="5"/>
      <c r="I556" s="5"/>
      <c r="J556" s="5"/>
      <c r="K556" s="5"/>
      <c r="L556" s="5"/>
      <c r="M556" s="5"/>
    </row>
    <row r="557" spans="1:13" ht="33.75" customHeight="1">
      <c r="A557" s="148" t="s">
        <v>394</v>
      </c>
      <c r="B557" s="148"/>
      <c r="C557" s="138"/>
      <c r="D557" s="139"/>
      <c r="E557" s="140"/>
      <c r="G557" s="131"/>
      <c r="H557" s="137"/>
      <c r="I557" s="137" t="s">
        <v>395</v>
      </c>
      <c r="J557" s="131"/>
      <c r="K557" s="131"/>
      <c r="L557" s="131"/>
      <c r="M557" s="131"/>
    </row>
    <row r="558" ht="12.75">
      <c r="K558" s="61"/>
    </row>
    <row r="559" spans="1:13" ht="12.75">
      <c r="A559" s="114" t="s">
        <v>76</v>
      </c>
      <c r="C559" s="61">
        <f aca="true" t="shared" si="142" ref="C559:M559">C13+C41+C84+C107+C195+C200+C225+C238+C276+C310+C337+C347+C357+C360+C365+C374+C393+C401+C419+C436+C453+C470+C487+C504+C522+C540+C203+C241+C221</f>
        <v>98355156</v>
      </c>
      <c r="D559" s="61">
        <f t="shared" si="142"/>
        <v>60055329</v>
      </c>
      <c r="E559" s="61">
        <f t="shared" si="142"/>
        <v>5862969</v>
      </c>
      <c r="F559" s="61">
        <f t="shared" si="142"/>
        <v>2052920</v>
      </c>
      <c r="G559" s="61">
        <f t="shared" si="142"/>
        <v>428521</v>
      </c>
      <c r="H559" s="61">
        <f t="shared" si="142"/>
        <v>0</v>
      </c>
      <c r="I559" s="61">
        <f t="shared" si="142"/>
        <v>0</v>
      </c>
      <c r="J559" s="61">
        <f t="shared" si="142"/>
        <v>1624399</v>
      </c>
      <c r="K559" s="61">
        <f t="shared" si="142"/>
        <v>1624399</v>
      </c>
      <c r="L559" s="61">
        <f t="shared" si="142"/>
        <v>0</v>
      </c>
      <c r="M559" s="61">
        <f t="shared" si="142"/>
        <v>100408076</v>
      </c>
    </row>
    <row r="560" spans="1:13" ht="12.75">
      <c r="A560" s="114" t="s">
        <v>114</v>
      </c>
      <c r="C560" s="61"/>
      <c r="F560" s="61">
        <f>F27+F104+F182+F216+F442+F459+F476+F510+F528+F544+F493+F328+F368</f>
        <v>463601</v>
      </c>
      <c r="G560" s="61">
        <f>G27+G104+G182+G216+G442+G459+G476+G510+G528+G544+G493+G328+G368</f>
        <v>458309</v>
      </c>
      <c r="H560" s="61">
        <f>H27+H104+H182+H216+H442+H459+H476+H510+H528+H544+H493+H328</f>
        <v>0</v>
      </c>
      <c r="I560" s="61">
        <f>I27+I104+I182+I216+I442+I459+I476+I510+I528+I544+I493+I328</f>
        <v>0</v>
      </c>
      <c r="J560" s="61">
        <f>J368</f>
        <v>5292</v>
      </c>
      <c r="K560" s="61">
        <f>K27+K104+K182+K216+K442+K459+K476+K510+K528+K544+K493+K328</f>
        <v>0</v>
      </c>
      <c r="L560" s="61">
        <f>L27+L104+L182+L216+L442+L459+L476+L510+L528+L544+L493+L328</f>
        <v>0</v>
      </c>
      <c r="M560" s="61">
        <f>M27+M104+M182+M216+M442+M459+M476+M510+M528+M544+M493+M328+M368</f>
        <v>463601</v>
      </c>
    </row>
    <row r="561" spans="1:13" ht="12.75">
      <c r="A561" s="114" t="s">
        <v>115</v>
      </c>
      <c r="C561" s="61">
        <f aca="true" t="shared" si="143" ref="C561:M561">C31+C218+C234+C295+C330+C343+C351+C427+C444+C461+C478+C495+C512+C530+C546+C386+C415+C370+C268</f>
        <v>37547376</v>
      </c>
      <c r="D561" s="61">
        <f t="shared" si="143"/>
        <v>1577313</v>
      </c>
      <c r="E561" s="61">
        <f t="shared" si="143"/>
        <v>5889</v>
      </c>
      <c r="F561" s="61">
        <f t="shared" si="143"/>
        <v>4311809</v>
      </c>
      <c r="G561" s="61">
        <f t="shared" si="143"/>
        <v>0</v>
      </c>
      <c r="H561" s="61">
        <f t="shared" si="143"/>
        <v>0</v>
      </c>
      <c r="I561" s="61">
        <f t="shared" si="143"/>
        <v>0</v>
      </c>
      <c r="J561" s="61">
        <f t="shared" si="143"/>
        <v>4311809</v>
      </c>
      <c r="K561" s="61">
        <f t="shared" si="143"/>
        <v>4311809</v>
      </c>
      <c r="L561" s="61">
        <f t="shared" si="143"/>
        <v>1700000</v>
      </c>
      <c r="M561" s="61">
        <f t="shared" si="143"/>
        <v>41859185</v>
      </c>
    </row>
    <row r="562" spans="3:6" ht="12.75">
      <c r="C562" s="61"/>
      <c r="F562" s="70"/>
    </row>
    <row r="563" spans="1:11" ht="12.75">
      <c r="A563" s="114"/>
      <c r="C563" s="61">
        <f>C19+C73+C99+C170+C214+C285+C318+C406+C440+C474+C491+C526</f>
        <v>0</v>
      </c>
      <c r="D563" s="61">
        <f>D19+D73+D99+D170+D214+D285+D318+D406+D440+D474+D491+D526</f>
        <v>0</v>
      </c>
      <c r="E563" s="61">
        <f>E19+E73+E99+E170+E214+E285+E318+E406+E440+E474+E491+E526</f>
        <v>0</v>
      </c>
      <c r="F563" s="61">
        <f>F19+F73+F99+F170+F214+F285+F318+F406+F440+F474+F491+F526</f>
        <v>45550623</v>
      </c>
      <c r="J563"/>
      <c r="K563" s="61"/>
    </row>
  </sheetData>
  <sheetProtection/>
  <mergeCells count="26">
    <mergeCell ref="K7:L7"/>
    <mergeCell ref="H7:I7"/>
    <mergeCell ref="J7:J9"/>
    <mergeCell ref="H8:H9"/>
    <mergeCell ref="I8:I9"/>
    <mergeCell ref="F1:G1"/>
    <mergeCell ref="J1:M1"/>
    <mergeCell ref="J2:M2"/>
    <mergeCell ref="F2:G2"/>
    <mergeCell ref="F3:G3"/>
    <mergeCell ref="J3:M3"/>
    <mergeCell ref="A4:M4"/>
    <mergeCell ref="C6:E6"/>
    <mergeCell ref="K5:M5"/>
    <mergeCell ref="M6:M9"/>
    <mergeCell ref="G7:G9"/>
    <mergeCell ref="F7:F9"/>
    <mergeCell ref="F6:L6"/>
    <mergeCell ref="K8:K9"/>
    <mergeCell ref="A557:B557"/>
    <mergeCell ref="E8:E9"/>
    <mergeCell ref="A7:A9"/>
    <mergeCell ref="D7:E7"/>
    <mergeCell ref="B7:B9"/>
    <mergeCell ref="D8:D9"/>
    <mergeCell ref="C7:C9"/>
  </mergeCells>
  <printOptions/>
  <pageMargins left="0.9055118110236221" right="0.35433070866141736" top="0.52" bottom="0.38" header="0.3937007874015748" footer="0.38"/>
  <pageSetup fitToHeight="43" fitToWidth="1" horizontalDpi="600" verticalDpi="600" orientation="landscape" paperSize="9" scale="66" r:id="rId1"/>
  <headerFooter alignWithMargins="0">
    <oddHeader>&amp;C&amp;P</oddHeader>
  </headerFooter>
  <rowBreaks count="1" manualBreakCount="1">
    <brk id="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2013-12-03T11:02:22Z</cp:lastPrinted>
  <dcterms:created xsi:type="dcterms:W3CDTF">2002-01-02T08:54:19Z</dcterms:created>
  <dcterms:modified xsi:type="dcterms:W3CDTF">2013-12-10T11:51:40Z</dcterms:modified>
  <cp:category/>
  <cp:version/>
  <cp:contentType/>
  <cp:contentStatus/>
</cp:coreProperties>
</file>