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'Місто'!$A$1:$P$567</definedName>
  </definedNames>
  <calcPr fullCalcOnLoad="1"/>
</workbook>
</file>

<file path=xl/sharedStrings.xml><?xml version="1.0" encoding="utf-8"?>
<sst xmlns="http://schemas.openxmlformats.org/spreadsheetml/2006/main" count="1128" uniqueCount="443">
  <si>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</si>
  <si>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</si>
  <si>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</si>
  <si>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центр управління інформаційними технологіями (придбання системного блоку 1 од., процесору 1 од, моніторів 2 од., прогр. Забезп.)</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</si>
  <si>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</si>
  <si>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</si>
  <si>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</si>
  <si>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</si>
  <si>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</si>
  <si>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</si>
  <si>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</si>
  <si>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</si>
  <si>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</si>
  <si>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</si>
  <si>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</si>
  <si>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</si>
  <si>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</si>
  <si>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</si>
  <si>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</si>
  <si>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</si>
  <si>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</si>
  <si>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</si>
  <si>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</si>
  <si>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</si>
  <si>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</si>
  <si>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</si>
  <si>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</si>
  <si>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</si>
  <si>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</si>
  <si>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</si>
  <si>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</si>
  <si>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</si>
  <si>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</si>
  <si>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</si>
  <si>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</si>
  <si>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</si>
  <si>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</si>
  <si>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</si>
  <si>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</si>
  <si>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</si>
  <si>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</si>
  <si>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</si>
  <si>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</si>
  <si>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</si>
  <si>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</si>
  <si>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</si>
  <si>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</si>
  <si>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</si>
  <si>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</si>
  <si>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</si>
  <si>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</si>
  <si>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</si>
  <si>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</si>
  <si>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30.06.2015  №  36</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</si>
  <si>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</si>
  <si>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</si>
  <si>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</si>
  <si>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</si>
  <si>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</si>
  <si>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</si>
  <si>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</si>
  <si>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</si>
  <si>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</si>
  <si>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</si>
  <si>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</si>
  <si>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</si>
  <si>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</si>
  <si>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</si>
  <si>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</si>
  <si>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</si>
  <si>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</si>
  <si>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</si>
  <si>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</si>
  <si>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</si>
  <si>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</si>
  <si>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</si>
  <si>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</si>
  <si>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</si>
  <si>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</si>
  <si>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</si>
  <si>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</si>
  <si>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</si>
  <si>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</si>
  <si>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</si>
  <si>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</si>
  <si>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</si>
  <si>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</si>
  <si>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</si>
  <si>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</si>
  <si>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</si>
  <si>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</si>
  <si>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</si>
  <si>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</si>
  <si>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</si>
  <si>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</si>
  <si>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</si>
  <si>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</si>
  <si>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</si>
  <si>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</si>
  <si>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</si>
  <si>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</si>
  <si>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</si>
  <si>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</si>
  <si>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</si>
  <si>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</si>
  <si>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</si>
  <si>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</si>
  <si>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</si>
  <si>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</si>
  <si>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</si>
  <si>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</si>
  <si>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</si>
  <si>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</si>
  <si>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</si>
  <si>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</si>
  <si>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</si>
  <si>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</si>
  <si>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</si>
  <si>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</si>
  <si>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</si>
  <si>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</si>
  <si>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</si>
  <si>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</si>
  <si>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</si>
  <si>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</si>
  <si>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</si>
  <si>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</si>
  <si>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</si>
  <si>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</si>
  <si>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</si>
  <si>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</si>
  <si>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</si>
  <si>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</si>
  <si>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</si>
  <si>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</si>
  <si>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</si>
  <si>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</si>
  <si>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</si>
  <si>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</si>
  <si>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</si>
  <si>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</si>
  <si>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</si>
  <si>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</si>
  <si>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</si>
  <si>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проведення технічної інвентаризації ветхого житла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</si>
  <si>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</si>
  <si>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</si>
  <si>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</si>
  <si>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</si>
  <si>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</si>
  <si>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</si>
  <si>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</si>
  <si>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</si>
  <si>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</si>
  <si>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</si>
  <si>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</si>
  <si>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</si>
  <si>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</si>
  <si>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</si>
  <si>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</si>
  <si>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</si>
  <si>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</si>
  <si>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</si>
  <si>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</si>
  <si>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</si>
  <si>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</si>
  <si>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</si>
  <si>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</si>
  <si>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</si>
  <si>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</si>
  <si>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</si>
  <si>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</si>
  <si>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</si>
  <si>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</si>
  <si>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</si>
  <si>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</si>
  <si>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</si>
  <si>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</si>
  <si>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</si>
  <si>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</si>
  <si>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</si>
  <si>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</si>
  <si>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</si>
  <si>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</si>
  <si>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</si>
  <si>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Р.О.Таран</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</si>
  <si>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</si>
  <si>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</si>
  <si>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</si>
  <si>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</si>
  <si>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</si>
  <si>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</si>
  <si>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</si>
  <si>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</si>
  <si>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</si>
  <si>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</si>
  <si>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</si>
  <si>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</si>
  <si>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</si>
  <si>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</si>
  <si>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</si>
  <si>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</si>
  <si>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</si>
  <si>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</si>
  <si>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</si>
  <si>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</si>
  <si>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</si>
  <si>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</si>
  <si>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</si>
  <si>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</si>
  <si>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</si>
  <si>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</si>
  <si>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</si>
  <si>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</si>
  <si>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</si>
  <si>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</si>
  <si>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</si>
  <si>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</si>
  <si>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</si>
  <si>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</si>
  <si>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</si>
  <si>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</si>
  <si>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</si>
  <si>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</si>
  <si>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</si>
  <si>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</si>
  <si>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</si>
  <si>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</si>
  <si>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</si>
  <si>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</si>
  <si>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</si>
  <si>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</si>
  <si>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</si>
  <si>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</si>
  <si>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</si>
  <si>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</si>
  <si>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</si>
  <si>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</si>
  <si>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</si>
  <si>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</si>
  <si>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</si>
  <si>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</si>
  <si>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</si>
  <si>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</si>
  <si>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</si>
  <si>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</si>
  <si>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</si>
  <si>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</si>
  <si>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</si>
  <si>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</si>
  <si>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</si>
  <si>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</si>
  <si>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</si>
  <si>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</si>
  <si>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</si>
  <si>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</si>
  <si>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</si>
  <si>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</si>
  <si>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</si>
  <si>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</si>
  <si>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</si>
  <si>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</si>
  <si>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</si>
  <si>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</si>
  <si>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</si>
  <si>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</si>
  <si>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</si>
  <si>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</si>
  <si>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</si>
  <si>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</si>
  <si>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</si>
  <si>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</si>
  <si>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</si>
  <si>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</si>
  <si>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</si>
  <si>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</si>
  <si>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</si>
  <si>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</si>
  <si>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</si>
  <si>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</si>
  <si>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</si>
  <si>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</si>
  <si>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</si>
  <si>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</si>
  <si>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</si>
  <si>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</si>
  <si>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</si>
  <si>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</si>
  <si>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</si>
  <si>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</si>
  <si>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</si>
  <si>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</si>
  <si>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</si>
  <si>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</si>
  <si>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</si>
  <si>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</si>
  <si>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</si>
  <si>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</si>
  <si>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</si>
  <si>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</si>
  <si>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</si>
  <si>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</si>
  <si>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</si>
  <si>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</si>
  <si>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</si>
  <si>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</si>
  <si>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</si>
  <si>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</si>
  <si>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</si>
  <si>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</si>
  <si>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</si>
  <si>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</si>
  <si>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</si>
  <si>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</si>
  <si>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</si>
  <si>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</si>
  <si>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</si>
  <si>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</si>
  <si>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</si>
  <si>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</si>
  <si>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</si>
  <si>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</si>
  <si>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</si>
  <si>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</si>
  <si>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</si>
  <si>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</si>
  <si>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</si>
  <si>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</si>
  <si>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</si>
  <si>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</si>
  <si>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</si>
  <si>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</si>
  <si>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</si>
  <si>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</si>
  <si>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</si>
  <si>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</si>
  <si>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</si>
  <si>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</si>
  <si>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</si>
  <si>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</si>
  <si>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</si>
  <si>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</si>
  <si>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</si>
  <si>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</si>
  <si>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</si>
  <si>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</si>
  <si>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</si>
  <si>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</si>
  <si>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</si>
  <si>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</si>
  <si>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</si>
  <si>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</si>
  <si>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</si>
  <si>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</si>
  <si>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</si>
  <si>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</si>
  <si>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</si>
  <si>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</si>
  <si>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</si>
  <si>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</si>
  <si>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</si>
  <si>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</si>
  <si>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</si>
  <si>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</si>
  <si>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</si>
  <si>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</si>
  <si>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</si>
  <si>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</si>
  <si>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</si>
  <si>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</si>
  <si>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</si>
  <si>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</si>
  <si>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</si>
  <si>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</si>
  <si>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</si>
  <si>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</si>
  <si>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</si>
  <si>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</si>
  <si>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</si>
  <si>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</si>
  <si>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</si>
  <si>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</si>
  <si>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</si>
  <si>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</si>
  <si>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</si>
  <si>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</si>
  <si>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</si>
  <si>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</si>
  <si>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</si>
  <si>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</si>
  <si>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</si>
  <si>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</si>
  <si>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</si>
  <si>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</si>
  <si>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</si>
  <si>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</si>
  <si>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</si>
  <si>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</si>
  <si>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</si>
  <si>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</si>
  <si>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</si>
  <si>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</si>
  <si>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</si>
  <si>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</si>
  <si>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</si>
  <si>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</si>
  <si>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</si>
  <si>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</si>
  <si>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</si>
  <si>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</si>
  <si>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видатків бюджету міста на 2015 рік</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</si>
  <si>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</si>
  <si>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</si>
  <si>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</si>
  <si>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</si>
  <si>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</si>
  <si>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</si>
  <si>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</si>
  <si>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</si>
  <si>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</si>
  <si>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</si>
  <si>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</si>
  <si>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</si>
  <si>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</si>
  <si>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</si>
  <si>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</si>
  <si>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</si>
  <si>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</si>
  <si>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</si>
  <si>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</si>
  <si>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Озорона навколишнього природного середовища та ядерна безпека</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</si>
  <si>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</si>
  <si>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</si>
  <si>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</si>
  <si>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</si>
  <si>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</si>
  <si>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</si>
  <si>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</si>
  <si>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або більше дітей, враховуючи тих, над якими встановлено опіку чи піклування, на житлово-комунальні послуги</t>
  </si>
  <si>
    <t>090413</t>
  </si>
  <si>
    <t>Допомога на догляд за інвалідом І чи ІІ групи внаслідок психічного розладу</t>
  </si>
  <si>
    <t>кап.ремонт нежитлових приміщень</t>
  </si>
  <si>
    <t>Заходи з мобілізації та призову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</si>
</sst>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86">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1" fontId="32"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0" fontId="14" fillId="0" borderId="12" xfId="0" applyFont="1" applyBorder="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0" fillId="0" borderId="16" xfId="0" applyFont="1" applyBorder="1" applyAlignment="1">
      <alignment horizontal="center" vertical="center"/>
    </xf>
    <xf numFmtId="0" fontId="14" fillId="0" borderId="0" xfId="0" applyFont="1" applyAlignment="1">
      <alignment horizontal="left" wrapText="1"/>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S577"/>
  <sheetViews>
    <sheetView showZeros="0" tabSelected="1" view="pageBreakPreview" zoomScale="75" zoomScaleNormal="75" zoomScaleSheetLayoutView="75" zoomScalePageLayoutView="0" workbookViewId="0" topLeftCell="A1">
      <selection activeCell="N6" sqref="N6"/>
    </sheetView>
  </sheetViews>
  <sheetFormatPr defaultColWidth="9.00390625" defaultRowHeight="12.75"/>
  <cols>
    <col min="1" max="1" width="9.625" style="62" customWidth="1"/>
    <col min="2" max="3" width="10.125" style="62" customWidth="1"/>
    <col min="4" max="4" width="34.375" style="46" customWidth="1"/>
    <col min="5" max="6" width="15.75390625" style="46" customWidth="1"/>
    <col min="7" max="7" width="16.00390625" style="46" customWidth="1"/>
    <col min="8" max="9" width="14.625" style="46" customWidth="1"/>
    <col min="10" max="10" width="14.125" style="46" customWidth="1"/>
    <col min="11" max="11" width="13.25390625" style="46" bestFit="1" customWidth="1"/>
    <col min="12" max="12" width="13.00390625" style="46" customWidth="1"/>
    <col min="13" max="13" width="12.375" style="46" customWidth="1"/>
    <col min="14" max="14" width="14.625" style="46" customWidth="1"/>
    <col min="15" max="15" width="14.375" style="46" customWidth="1"/>
    <col min="16" max="16" width="15.625" style="46" customWidth="1"/>
    <col min="17" max="17" width="18.00390625" style="46" hidden="1" customWidth="1"/>
    <col min="18" max="18" width="11.625" style="46" hidden="1" customWidth="1"/>
    <col min="19" max="22" width="0" style="46" hidden="1" customWidth="1"/>
    <col min="23" max="23" width="11.00390625" style="46" customWidth="1"/>
    <col min="24" max="24" width="9.25390625" style="46" bestFit="1" customWidth="1"/>
    <col min="25" max="25" width="9.125" style="46" customWidth="1"/>
    <col min="26" max="26" width="11.625" style="46" bestFit="1" customWidth="1"/>
    <col min="27" max="16384" width="9.125" style="46" customWidth="1"/>
  </cols>
  <sheetData>
    <row r="1" spans="1:16" ht="33.75" customHeight="1">
      <c r="A1" s="47"/>
      <c r="B1" s="47"/>
      <c r="C1" s="47"/>
      <c r="D1" s="48"/>
      <c r="E1" s="48"/>
      <c r="F1" s="48"/>
      <c r="G1" s="48"/>
      <c r="H1" s="48"/>
      <c r="I1" s="48"/>
      <c r="J1" s="182"/>
      <c r="K1" s="182"/>
      <c r="L1" s="155" t="s">
        <v>306</v>
      </c>
      <c r="O1" s="147"/>
      <c r="P1" s="147"/>
    </row>
    <row r="2" spans="1:16" ht="30" customHeight="1">
      <c r="A2" s="47"/>
      <c r="B2" s="47"/>
      <c r="C2" s="47"/>
      <c r="D2" s="48"/>
      <c r="E2" s="48"/>
      <c r="F2" s="48"/>
      <c r="G2" s="48"/>
      <c r="H2" s="48"/>
      <c r="I2" s="48"/>
      <c r="J2" s="182"/>
      <c r="K2" s="182"/>
      <c r="L2" s="155" t="s">
        <v>341</v>
      </c>
      <c r="O2" s="149"/>
      <c r="P2" s="149"/>
    </row>
    <row r="3" spans="1:16" ht="41.25" customHeight="1">
      <c r="A3" s="47"/>
      <c r="B3" s="47"/>
      <c r="C3" s="47"/>
      <c r="D3" s="48"/>
      <c r="E3" s="48"/>
      <c r="F3" s="48"/>
      <c r="G3" s="48"/>
      <c r="H3" s="48"/>
      <c r="I3" s="48"/>
      <c r="J3" s="182"/>
      <c r="K3" s="182"/>
      <c r="L3" s="185" t="s">
        <v>53</v>
      </c>
      <c r="O3" s="146"/>
      <c r="P3" s="146"/>
    </row>
    <row r="4" spans="1:16" ht="20.25">
      <c r="A4" s="46"/>
      <c r="B4" s="174" t="s">
        <v>409</v>
      </c>
      <c r="C4" s="175"/>
      <c r="D4" s="175"/>
      <c r="E4" s="175"/>
      <c r="F4" s="175"/>
      <c r="G4" s="175"/>
      <c r="H4" s="175"/>
      <c r="I4" s="175"/>
      <c r="J4" s="175"/>
      <c r="K4" s="175"/>
      <c r="L4" s="175"/>
      <c r="M4" s="175"/>
      <c r="N4" s="175"/>
      <c r="O4" s="175"/>
      <c r="P4" s="176"/>
    </row>
    <row r="5" spans="1:16" ht="20.25">
      <c r="A5" s="46"/>
      <c r="B5" s="174" t="s">
        <v>410</v>
      </c>
      <c r="C5" s="175"/>
      <c r="D5" s="175"/>
      <c r="E5" s="175"/>
      <c r="F5" s="175"/>
      <c r="G5" s="175"/>
      <c r="H5" s="175"/>
      <c r="I5" s="175"/>
      <c r="J5" s="175"/>
      <c r="K5" s="175"/>
      <c r="L5" s="175"/>
      <c r="M5" s="175"/>
      <c r="N5" s="175"/>
      <c r="O5" s="175"/>
      <c r="P5" s="176"/>
    </row>
    <row r="6" spans="1:16" ht="30" customHeight="1">
      <c r="A6" s="49"/>
      <c r="B6" s="49"/>
      <c r="C6" s="49"/>
      <c r="D6" s="50"/>
      <c r="E6" s="33"/>
      <c r="F6" s="33"/>
      <c r="G6" s="33"/>
      <c r="H6" s="33"/>
      <c r="I6" s="33"/>
      <c r="J6" s="33"/>
      <c r="K6" s="33"/>
      <c r="L6" s="33"/>
      <c r="M6" s="34"/>
      <c r="N6" s="34"/>
      <c r="O6" s="177" t="s">
        <v>419</v>
      </c>
      <c r="P6" s="178"/>
    </row>
    <row r="7" spans="1:16" ht="44.25" customHeight="1">
      <c r="A7" s="163" t="s">
        <v>411</v>
      </c>
      <c r="B7" s="163" t="s">
        <v>412</v>
      </c>
      <c r="C7" s="163" t="s">
        <v>413</v>
      </c>
      <c r="D7" s="166" t="s">
        <v>414</v>
      </c>
      <c r="E7" s="169" t="s">
        <v>420</v>
      </c>
      <c r="F7" s="170"/>
      <c r="G7" s="170"/>
      <c r="H7" s="170"/>
      <c r="I7" s="171"/>
      <c r="J7" s="169" t="s">
        <v>421</v>
      </c>
      <c r="K7" s="170"/>
      <c r="L7" s="170"/>
      <c r="M7" s="170"/>
      <c r="N7" s="170"/>
      <c r="O7" s="170"/>
      <c r="P7" s="179" t="s">
        <v>300</v>
      </c>
    </row>
    <row r="8" spans="1:16" ht="12.75" customHeight="1">
      <c r="A8" s="164"/>
      <c r="B8" s="164"/>
      <c r="C8" s="164"/>
      <c r="D8" s="167"/>
      <c r="E8" s="179" t="s">
        <v>247</v>
      </c>
      <c r="F8" s="172" t="s">
        <v>417</v>
      </c>
      <c r="G8" s="183" t="s">
        <v>360</v>
      </c>
      <c r="H8" s="171"/>
      <c r="I8" s="172" t="s">
        <v>418</v>
      </c>
      <c r="J8" s="179" t="s">
        <v>247</v>
      </c>
      <c r="K8" s="172" t="s">
        <v>417</v>
      </c>
      <c r="L8" s="183" t="s">
        <v>360</v>
      </c>
      <c r="M8" s="171"/>
      <c r="N8" s="172" t="s">
        <v>418</v>
      </c>
      <c r="O8" s="148" t="s">
        <v>360</v>
      </c>
      <c r="P8" s="180"/>
    </row>
    <row r="9" spans="1:16" ht="38.25">
      <c r="A9" s="165"/>
      <c r="B9" s="165"/>
      <c r="C9" s="165"/>
      <c r="D9" s="168"/>
      <c r="E9" s="181"/>
      <c r="F9" s="173"/>
      <c r="G9" s="91" t="s">
        <v>361</v>
      </c>
      <c r="H9" s="91" t="s">
        <v>362</v>
      </c>
      <c r="I9" s="173"/>
      <c r="J9" s="181"/>
      <c r="K9" s="173"/>
      <c r="L9" s="91" t="s">
        <v>361</v>
      </c>
      <c r="M9" s="91" t="s">
        <v>362</v>
      </c>
      <c r="N9" s="173"/>
      <c r="O9" s="87" t="s">
        <v>91</v>
      </c>
      <c r="P9" s="181"/>
    </row>
    <row r="10" spans="1:16" ht="13.5" customHeight="1">
      <c r="A10" s="76" t="s">
        <v>415</v>
      </c>
      <c r="B10" s="76" t="s">
        <v>0</v>
      </c>
      <c r="C10" s="76" t="s">
        <v>416</v>
      </c>
      <c r="D10" s="51">
        <v>4</v>
      </c>
      <c r="E10" s="51">
        <v>5</v>
      </c>
      <c r="F10" s="51">
        <v>6</v>
      </c>
      <c r="G10" s="51">
        <v>7</v>
      </c>
      <c r="H10" s="51">
        <v>8</v>
      </c>
      <c r="I10" s="51">
        <v>9</v>
      </c>
      <c r="J10" s="51">
        <v>10</v>
      </c>
      <c r="K10" s="51">
        <v>11</v>
      </c>
      <c r="L10" s="51">
        <v>12</v>
      </c>
      <c r="M10" s="51">
        <v>13</v>
      </c>
      <c r="N10" s="51">
        <v>14</v>
      </c>
      <c r="O10" s="51">
        <v>15</v>
      </c>
      <c r="P10" s="51">
        <v>16</v>
      </c>
    </row>
    <row r="11" spans="1:23" s="55" customFormat="1" ht="25.5">
      <c r="A11" s="100"/>
      <c r="B11" s="100" t="s">
        <v>153</v>
      </c>
      <c r="C11" s="100"/>
      <c r="D11" s="111" t="s">
        <v>143</v>
      </c>
      <c r="E11" s="52">
        <f>E12+E14+E16+E25+E27+E22</f>
        <v>20578353</v>
      </c>
      <c r="F11" s="52">
        <f>F12+F14+F16+F25+F27+F22</f>
        <v>20578353</v>
      </c>
      <c r="G11" s="52">
        <f>G12+G14+G16+G25+G27+G22</f>
        <v>9480967</v>
      </c>
      <c r="H11" s="52">
        <f>H12+H14+H16+H25+H27+H22</f>
        <v>1370034</v>
      </c>
      <c r="I11" s="52">
        <f>I12+I14+I16+I25+I27+I22</f>
        <v>0</v>
      </c>
      <c r="J11" s="52">
        <f>K11+N11</f>
        <v>3396382</v>
      </c>
      <c r="K11" s="52">
        <f>K12+K14+K16+K25+K27+K22</f>
        <v>285651</v>
      </c>
      <c r="L11" s="52">
        <f>L12+L14+L16+L25+L27+L22</f>
        <v>0</v>
      </c>
      <c r="M11" s="52">
        <f>M12+M14+M16+M25+M27+M22</f>
        <v>0</v>
      </c>
      <c r="N11" s="52">
        <f>N12+N14+N16+N25+N27+N22</f>
        <v>3110731</v>
      </c>
      <c r="O11" s="52">
        <f>O12+O14+O16+O25+O27+O22</f>
        <v>3110731</v>
      </c>
      <c r="P11" s="53">
        <f aca="true" t="shared" si="0" ref="P11:P36">E11+J11</f>
        <v>23974735</v>
      </c>
      <c r="Q11" s="54"/>
      <c r="R11" s="54"/>
      <c r="W11" s="54"/>
    </row>
    <row r="12" spans="1:23" s="58" customFormat="1" ht="12.75">
      <c r="A12" s="43"/>
      <c r="B12" s="43" t="s">
        <v>363</v>
      </c>
      <c r="C12" s="43"/>
      <c r="D12" s="44" t="s">
        <v>364</v>
      </c>
      <c r="E12" s="37">
        <f>F12+I12</f>
        <v>14675555</v>
      </c>
      <c r="F12" s="37">
        <f>F13</f>
        <v>14675555</v>
      </c>
      <c r="G12" s="37">
        <f>G13</f>
        <v>7524297</v>
      </c>
      <c r="H12" s="37">
        <f>H13</f>
        <v>1260997</v>
      </c>
      <c r="I12" s="37"/>
      <c r="J12" s="38">
        <f>K12+N12</f>
        <v>3133055</v>
      </c>
      <c r="K12" s="37">
        <f>K13</f>
        <v>50411</v>
      </c>
      <c r="L12" s="37">
        <f>L13</f>
        <v>0</v>
      </c>
      <c r="M12" s="37">
        <f>M13</f>
        <v>0</v>
      </c>
      <c r="N12" s="37">
        <f>N13</f>
        <v>3082644</v>
      </c>
      <c r="O12" s="37">
        <f>O13</f>
        <v>3082644</v>
      </c>
      <c r="P12" s="56">
        <f t="shared" si="0"/>
        <v>17808610</v>
      </c>
      <c r="Q12" s="54"/>
      <c r="R12" s="57"/>
      <c r="W12" s="54"/>
    </row>
    <row r="13" spans="1:23" ht="12.75">
      <c r="A13" s="40"/>
      <c r="B13" s="40" t="s">
        <v>248</v>
      </c>
      <c r="C13" s="76" t="s">
        <v>4</v>
      </c>
      <c r="D13" s="59" t="s">
        <v>249</v>
      </c>
      <c r="E13" s="37">
        <f aca="true" t="shared" si="1" ref="E13:E36">F13+I13</f>
        <v>14675555</v>
      </c>
      <c r="F13" s="38">
        <f>14254462+26507+390360+13636-9410</f>
        <v>14675555</v>
      </c>
      <c r="G13" s="38">
        <f>7451832+19215+53250</f>
        <v>7524297</v>
      </c>
      <c r="H13" s="38">
        <v>1260997</v>
      </c>
      <c r="I13" s="38"/>
      <c r="J13" s="38">
        <f>K13+N13</f>
        <v>3133055</v>
      </c>
      <c r="K13" s="38">
        <v>50411</v>
      </c>
      <c r="L13" s="38"/>
      <c r="M13" s="38"/>
      <c r="N13" s="78">
        <f>O13</f>
        <v>3082644</v>
      </c>
      <c r="O13" s="151">
        <f>3148845-99631+33430</f>
        <v>3082644</v>
      </c>
      <c r="P13" s="56">
        <f t="shared" si="0"/>
        <v>17808610</v>
      </c>
      <c r="Q13" s="54"/>
      <c r="R13" s="60"/>
      <c r="W13" s="54"/>
    </row>
    <row r="14" spans="1:23" ht="12.75">
      <c r="A14" s="40"/>
      <c r="B14" s="40" t="s">
        <v>365</v>
      </c>
      <c r="C14" s="40"/>
      <c r="D14" s="36" t="s">
        <v>366</v>
      </c>
      <c r="E14" s="37">
        <f t="shared" si="1"/>
        <v>606132</v>
      </c>
      <c r="F14" s="38">
        <f>F15</f>
        <v>606132</v>
      </c>
      <c r="G14" s="38">
        <f aca="true" t="shared" si="2" ref="G14:O14">G15</f>
        <v>0</v>
      </c>
      <c r="H14" s="38">
        <f t="shared" si="2"/>
        <v>0</v>
      </c>
      <c r="I14" s="38"/>
      <c r="J14" s="38">
        <f t="shared" si="2"/>
        <v>11800</v>
      </c>
      <c r="K14" s="38">
        <f t="shared" si="2"/>
        <v>0</v>
      </c>
      <c r="L14" s="38">
        <f t="shared" si="2"/>
        <v>0</v>
      </c>
      <c r="M14" s="38">
        <f t="shared" si="2"/>
        <v>0</v>
      </c>
      <c r="N14" s="78">
        <f t="shared" si="2"/>
        <v>11800</v>
      </c>
      <c r="O14" s="78">
        <f t="shared" si="2"/>
        <v>11800</v>
      </c>
      <c r="P14" s="56">
        <f t="shared" si="0"/>
        <v>617932</v>
      </c>
      <c r="Q14" s="54"/>
      <c r="R14" s="60"/>
      <c r="W14" s="54"/>
    </row>
    <row r="15" spans="1:23" ht="24.75" customHeight="1">
      <c r="A15" s="40"/>
      <c r="B15" s="40">
        <v>120201</v>
      </c>
      <c r="C15" s="76" t="s">
        <v>5</v>
      </c>
      <c r="D15" s="61" t="s">
        <v>89</v>
      </c>
      <c r="E15" s="37">
        <f t="shared" si="1"/>
        <v>606132</v>
      </c>
      <c r="F15" s="38">
        <f>606132</f>
        <v>606132</v>
      </c>
      <c r="G15" s="38"/>
      <c r="H15" s="38"/>
      <c r="I15" s="38"/>
      <c r="J15" s="38">
        <f aca="true" t="shared" si="3" ref="J15:J35">K15+N15</f>
        <v>11800</v>
      </c>
      <c r="K15" s="38"/>
      <c r="L15" s="38"/>
      <c r="M15" s="38"/>
      <c r="N15" s="38">
        <f>O15</f>
        <v>11800</v>
      </c>
      <c r="O15" s="38">
        <f>(11800)</f>
        <v>11800</v>
      </c>
      <c r="P15" s="56">
        <f>E15+J15</f>
        <v>617932</v>
      </c>
      <c r="Q15" s="54"/>
      <c r="R15" s="60"/>
      <c r="W15" s="54"/>
    </row>
    <row r="16" spans="1:23" ht="12.75" hidden="1">
      <c r="A16" s="40"/>
      <c r="B16" s="40" t="s">
        <v>367</v>
      </c>
      <c r="C16" s="40"/>
      <c r="D16" s="61" t="s">
        <v>282</v>
      </c>
      <c r="E16" s="37">
        <f t="shared" si="1"/>
        <v>0</v>
      </c>
      <c r="F16" s="38"/>
      <c r="G16" s="38"/>
      <c r="H16" s="38"/>
      <c r="I16" s="38"/>
      <c r="J16" s="38">
        <f t="shared" si="3"/>
        <v>0</v>
      </c>
      <c r="K16" s="38"/>
      <c r="L16" s="38"/>
      <c r="M16" s="38"/>
      <c r="N16" s="38">
        <f>N17+N19+N21</f>
        <v>0</v>
      </c>
      <c r="O16" s="38">
        <f>O17+O19+O21</f>
        <v>0</v>
      </c>
      <c r="P16" s="56">
        <f aca="true" t="shared" si="4" ref="P16:P24">E16+J16</f>
        <v>0</v>
      </c>
      <c r="Q16" s="54"/>
      <c r="R16" s="60"/>
      <c r="W16" s="54"/>
    </row>
    <row r="17" spans="1:23" ht="12.75" hidden="1">
      <c r="A17" s="40"/>
      <c r="B17" s="40" t="s">
        <v>338</v>
      </c>
      <c r="C17" s="40"/>
      <c r="D17" s="59" t="s">
        <v>339</v>
      </c>
      <c r="E17" s="37">
        <f t="shared" si="1"/>
        <v>0</v>
      </c>
      <c r="F17" s="38"/>
      <c r="G17" s="38"/>
      <c r="H17" s="38"/>
      <c r="I17" s="38"/>
      <c r="J17" s="38">
        <f t="shared" si="3"/>
        <v>0</v>
      </c>
      <c r="K17" s="38"/>
      <c r="L17" s="38"/>
      <c r="M17" s="38"/>
      <c r="N17" s="38">
        <f>O17</f>
        <v>0</v>
      </c>
      <c r="O17" s="139"/>
      <c r="P17" s="56">
        <f t="shared" si="4"/>
        <v>0</v>
      </c>
      <c r="Q17" s="54"/>
      <c r="R17" s="60"/>
      <c r="W17" s="54"/>
    </row>
    <row r="18" spans="1:23" ht="26.25" customHeight="1" hidden="1">
      <c r="A18" s="40"/>
      <c r="B18" s="40"/>
      <c r="C18" s="40"/>
      <c r="D18" s="70" t="s">
        <v>149</v>
      </c>
      <c r="E18" s="37">
        <f t="shared" si="1"/>
        <v>0</v>
      </c>
      <c r="F18" s="38"/>
      <c r="G18" s="38"/>
      <c r="H18" s="38"/>
      <c r="I18" s="38"/>
      <c r="J18" s="38" t="e">
        <f t="shared" si="3"/>
        <v>#REF!</v>
      </c>
      <c r="K18" s="38"/>
      <c r="L18" s="38"/>
      <c r="M18" s="38"/>
      <c r="N18" s="38" t="e">
        <f>O18</f>
        <v>#REF!</v>
      </c>
      <c r="O18" s="38" t="e">
        <f>#REF!</f>
        <v>#REF!</v>
      </c>
      <c r="P18" s="56" t="e">
        <f t="shared" si="4"/>
        <v>#REF!</v>
      </c>
      <c r="Q18" s="54"/>
      <c r="R18" s="60"/>
      <c r="W18" s="54"/>
    </row>
    <row r="19" spans="1:23" ht="178.5" hidden="1">
      <c r="A19" s="40"/>
      <c r="B19" s="40" t="s">
        <v>73</v>
      </c>
      <c r="C19" s="40"/>
      <c r="D19" s="129" t="s">
        <v>389</v>
      </c>
      <c r="E19" s="37">
        <f t="shared" si="1"/>
        <v>0</v>
      </c>
      <c r="F19" s="38"/>
      <c r="G19" s="38"/>
      <c r="H19" s="38"/>
      <c r="I19" s="38"/>
      <c r="J19" s="38">
        <f t="shared" si="3"/>
        <v>0</v>
      </c>
      <c r="K19" s="38"/>
      <c r="L19" s="38"/>
      <c r="M19" s="38"/>
      <c r="N19" s="78">
        <f>O19</f>
        <v>0</v>
      </c>
      <c r="O19" s="78"/>
      <c r="P19" s="56">
        <f t="shared" si="4"/>
        <v>0</v>
      </c>
      <c r="Q19" s="54"/>
      <c r="R19" s="60"/>
      <c r="W19" s="54"/>
    </row>
    <row r="20" spans="1:23" ht="35.25" customHeight="1" hidden="1">
      <c r="A20" s="40"/>
      <c r="B20" s="40"/>
      <c r="C20" s="40"/>
      <c r="D20" s="36" t="s">
        <v>382</v>
      </c>
      <c r="E20" s="37">
        <f t="shared" si="1"/>
        <v>0</v>
      </c>
      <c r="F20" s="38"/>
      <c r="G20" s="38"/>
      <c r="H20" s="38"/>
      <c r="I20" s="38"/>
      <c r="J20" s="38">
        <f t="shared" si="3"/>
        <v>0</v>
      </c>
      <c r="K20" s="38"/>
      <c r="L20" s="38"/>
      <c r="M20" s="38"/>
      <c r="N20" s="38"/>
      <c r="O20" s="38"/>
      <c r="P20" s="56">
        <f t="shared" si="4"/>
        <v>0</v>
      </c>
      <c r="Q20" s="54"/>
      <c r="R20" s="60"/>
      <c r="W20" s="54"/>
    </row>
    <row r="21" spans="1:23" ht="38.25" hidden="1">
      <c r="A21" s="76"/>
      <c r="B21" s="76" t="s">
        <v>114</v>
      </c>
      <c r="C21" s="76"/>
      <c r="D21" s="70" t="s">
        <v>115</v>
      </c>
      <c r="E21" s="37">
        <f t="shared" si="1"/>
        <v>0</v>
      </c>
      <c r="F21" s="38"/>
      <c r="G21" s="38"/>
      <c r="H21" s="38"/>
      <c r="I21" s="38"/>
      <c r="J21" s="38">
        <f t="shared" si="3"/>
        <v>0</v>
      </c>
      <c r="K21" s="38"/>
      <c r="L21" s="38"/>
      <c r="M21" s="38"/>
      <c r="N21" s="38"/>
      <c r="O21" s="38"/>
      <c r="P21" s="56">
        <f t="shared" si="4"/>
        <v>0</v>
      </c>
      <c r="Q21" s="54"/>
      <c r="R21" s="60"/>
      <c r="W21" s="54"/>
    </row>
    <row r="22" spans="1:23" ht="25.5">
      <c r="A22" s="40"/>
      <c r="B22" s="40" t="s">
        <v>377</v>
      </c>
      <c r="C22" s="40"/>
      <c r="D22" s="59" t="s">
        <v>378</v>
      </c>
      <c r="E22" s="37">
        <f t="shared" si="1"/>
        <v>0</v>
      </c>
      <c r="F22" s="38"/>
      <c r="G22" s="38"/>
      <c r="H22" s="38"/>
      <c r="I22" s="38"/>
      <c r="J22" s="38">
        <f t="shared" si="3"/>
        <v>16287</v>
      </c>
      <c r="K22" s="38"/>
      <c r="L22" s="38"/>
      <c r="M22" s="38"/>
      <c r="N22" s="38">
        <f>N23</f>
        <v>16287</v>
      </c>
      <c r="O22" s="38">
        <f>O23</f>
        <v>16287</v>
      </c>
      <c r="P22" s="56">
        <f t="shared" si="4"/>
        <v>16287</v>
      </c>
      <c r="Q22" s="54"/>
      <c r="R22" s="60"/>
      <c r="W22" s="54"/>
    </row>
    <row r="23" spans="1:23" ht="38.25">
      <c r="A23" s="40"/>
      <c r="B23" s="40" t="s">
        <v>355</v>
      </c>
      <c r="C23" s="76" t="s">
        <v>6</v>
      </c>
      <c r="D23" s="36" t="s">
        <v>356</v>
      </c>
      <c r="E23" s="37">
        <f t="shared" si="1"/>
        <v>0</v>
      </c>
      <c r="F23" s="38"/>
      <c r="G23" s="38"/>
      <c r="H23" s="38"/>
      <c r="I23" s="38"/>
      <c r="J23" s="38">
        <f t="shared" si="3"/>
        <v>16287</v>
      </c>
      <c r="K23" s="38"/>
      <c r="L23" s="38"/>
      <c r="M23" s="38"/>
      <c r="N23" s="38">
        <f>N24</f>
        <v>16287</v>
      </c>
      <c r="O23" s="38">
        <f>O24</f>
        <v>16287</v>
      </c>
      <c r="P23" s="56">
        <f t="shared" si="4"/>
        <v>16287</v>
      </c>
      <c r="Q23" s="54"/>
      <c r="R23" s="60"/>
      <c r="W23" s="54"/>
    </row>
    <row r="24" spans="1:23" ht="51" hidden="1">
      <c r="A24" s="40"/>
      <c r="B24" s="40"/>
      <c r="C24" s="40"/>
      <c r="D24" s="70" t="s">
        <v>3</v>
      </c>
      <c r="E24" s="37"/>
      <c r="F24" s="38"/>
      <c r="G24" s="38"/>
      <c r="H24" s="38"/>
      <c r="I24" s="38"/>
      <c r="J24" s="38">
        <f t="shared" si="3"/>
        <v>16287</v>
      </c>
      <c r="K24" s="38"/>
      <c r="L24" s="38"/>
      <c r="M24" s="38"/>
      <c r="N24" s="38">
        <f>O24</f>
        <v>16287</v>
      </c>
      <c r="O24" s="38">
        <f>24546-8259</f>
        <v>16287</v>
      </c>
      <c r="P24" s="56">
        <f t="shared" si="4"/>
        <v>16287</v>
      </c>
      <c r="Q24" s="54"/>
      <c r="R24" s="60"/>
      <c r="W24" s="54"/>
    </row>
    <row r="25" spans="1:23" ht="14.25" customHeight="1">
      <c r="A25" s="40"/>
      <c r="B25" s="40" t="s">
        <v>370</v>
      </c>
      <c r="C25" s="40"/>
      <c r="D25" s="36" t="s">
        <v>371</v>
      </c>
      <c r="E25" s="37">
        <f t="shared" si="1"/>
        <v>0</v>
      </c>
      <c r="F25" s="38"/>
      <c r="G25" s="38"/>
      <c r="H25" s="38"/>
      <c r="I25" s="38"/>
      <c r="J25" s="38">
        <f t="shared" si="3"/>
        <v>235240</v>
      </c>
      <c r="K25" s="38">
        <f>K26</f>
        <v>235240</v>
      </c>
      <c r="L25" s="38"/>
      <c r="M25" s="38"/>
      <c r="N25" s="38">
        <f>N26</f>
        <v>0</v>
      </c>
      <c r="O25" s="38"/>
      <c r="P25" s="56">
        <f t="shared" si="0"/>
        <v>235240</v>
      </c>
      <c r="Q25" s="54"/>
      <c r="R25" s="60"/>
      <c r="W25" s="54"/>
    </row>
    <row r="26" spans="1:23" ht="74.25" customHeight="1">
      <c r="A26" s="40"/>
      <c r="B26" s="40" t="s">
        <v>286</v>
      </c>
      <c r="C26" s="76" t="s">
        <v>7</v>
      </c>
      <c r="D26" s="75" t="s">
        <v>100</v>
      </c>
      <c r="E26" s="37">
        <f t="shared" si="1"/>
        <v>0</v>
      </c>
      <c r="F26" s="38"/>
      <c r="G26" s="38"/>
      <c r="H26" s="38"/>
      <c r="I26" s="38"/>
      <c r="J26" s="38">
        <f>K26+N26</f>
        <v>235240</v>
      </c>
      <c r="K26" s="78">
        <f>100000+135240</f>
        <v>235240</v>
      </c>
      <c r="L26" s="38"/>
      <c r="M26" s="38"/>
      <c r="N26" s="38"/>
      <c r="O26" s="38"/>
      <c r="P26" s="56">
        <f t="shared" si="0"/>
        <v>235240</v>
      </c>
      <c r="Q26" s="54"/>
      <c r="R26" s="60"/>
      <c r="W26" s="54"/>
    </row>
    <row r="27" spans="1:23" ht="23.25" customHeight="1">
      <c r="A27" s="40"/>
      <c r="B27" s="40" t="s">
        <v>372</v>
      </c>
      <c r="C27" s="40"/>
      <c r="D27" s="61" t="s">
        <v>373</v>
      </c>
      <c r="E27" s="37">
        <f>F27+I27</f>
        <v>5296666</v>
      </c>
      <c r="F27" s="37">
        <f>F30</f>
        <v>5296666</v>
      </c>
      <c r="G27" s="38">
        <f aca="true" t="shared" si="5" ref="G27:O27">G30+G28</f>
        <v>1956670</v>
      </c>
      <c r="H27" s="38">
        <f t="shared" si="5"/>
        <v>109037</v>
      </c>
      <c r="I27" s="38"/>
      <c r="J27" s="38">
        <f t="shared" si="5"/>
        <v>0</v>
      </c>
      <c r="K27" s="38">
        <f t="shared" si="5"/>
        <v>0</v>
      </c>
      <c r="L27" s="38">
        <f t="shared" si="5"/>
        <v>0</v>
      </c>
      <c r="M27" s="38">
        <f t="shared" si="5"/>
        <v>0</v>
      </c>
      <c r="N27" s="38">
        <f t="shared" si="5"/>
        <v>0</v>
      </c>
      <c r="O27" s="38">
        <f t="shared" si="5"/>
        <v>0</v>
      </c>
      <c r="P27" s="56">
        <f t="shared" si="0"/>
        <v>5296666</v>
      </c>
      <c r="Q27" s="54"/>
      <c r="R27" s="60"/>
      <c r="W27" s="54"/>
    </row>
    <row r="28" spans="1:23" ht="51" hidden="1">
      <c r="A28" s="76"/>
      <c r="B28" s="76" t="s">
        <v>304</v>
      </c>
      <c r="C28" s="76"/>
      <c r="D28" s="75" t="s">
        <v>305</v>
      </c>
      <c r="E28" s="37">
        <f t="shared" si="1"/>
        <v>0</v>
      </c>
      <c r="F28" s="38"/>
      <c r="G28" s="38"/>
      <c r="H28" s="38"/>
      <c r="I28" s="38"/>
      <c r="J28" s="38"/>
      <c r="K28" s="38"/>
      <c r="L28" s="38"/>
      <c r="M28" s="38"/>
      <c r="N28" s="38"/>
      <c r="O28" s="38"/>
      <c r="P28" s="56">
        <f t="shared" si="0"/>
        <v>0</v>
      </c>
      <c r="Q28" s="54"/>
      <c r="R28" s="60"/>
      <c r="W28" s="54"/>
    </row>
    <row r="29" spans="1:23" ht="25.5" hidden="1">
      <c r="A29" s="40"/>
      <c r="B29" s="40"/>
      <c r="C29" s="40"/>
      <c r="D29" s="36" t="s">
        <v>382</v>
      </c>
      <c r="E29" s="37">
        <f t="shared" si="1"/>
        <v>0</v>
      </c>
      <c r="F29" s="38"/>
      <c r="G29" s="38">
        <f>G28</f>
        <v>0</v>
      </c>
      <c r="H29" s="38">
        <f>H28</f>
        <v>0</v>
      </c>
      <c r="I29" s="38"/>
      <c r="J29" s="38"/>
      <c r="K29" s="38"/>
      <c r="L29" s="38"/>
      <c r="M29" s="38"/>
      <c r="N29" s="38"/>
      <c r="O29" s="38"/>
      <c r="P29" s="56">
        <f t="shared" si="0"/>
        <v>0</v>
      </c>
      <c r="Q29" s="54"/>
      <c r="R29" s="60"/>
      <c r="W29" s="54"/>
    </row>
    <row r="30" spans="1:23" ht="12.75">
      <c r="A30" s="40"/>
      <c r="B30" s="40" t="s">
        <v>287</v>
      </c>
      <c r="C30" s="76" t="s">
        <v>7</v>
      </c>
      <c r="D30" s="36" t="s">
        <v>316</v>
      </c>
      <c r="E30" s="37">
        <f>SUM(E31:E36)</f>
        <v>5296666</v>
      </c>
      <c r="F30" s="37">
        <f>SUM(F31:F36)</f>
        <v>5296666</v>
      </c>
      <c r="G30" s="38">
        <f>SUM(G31:G36)</f>
        <v>1956670</v>
      </c>
      <c r="H30" s="38">
        <f>SUM(H31:H36)</f>
        <v>109037</v>
      </c>
      <c r="I30" s="38"/>
      <c r="J30" s="38">
        <f t="shared" si="3"/>
        <v>0</v>
      </c>
      <c r="K30" s="38">
        <f>SUM(K31:K36)</f>
        <v>0</v>
      </c>
      <c r="L30" s="38">
        <f>SUM(L31:L36)</f>
        <v>0</v>
      </c>
      <c r="M30" s="38">
        <f>SUM(M31:M36)</f>
        <v>0</v>
      </c>
      <c r="N30" s="38">
        <f>SUM(N31:N36)</f>
        <v>0</v>
      </c>
      <c r="O30" s="38">
        <f>SUM(O31:O36)</f>
        <v>0</v>
      </c>
      <c r="P30" s="56">
        <f t="shared" si="0"/>
        <v>5296666</v>
      </c>
      <c r="Q30" s="54"/>
      <c r="R30" s="60"/>
      <c r="W30" s="54"/>
    </row>
    <row r="31" spans="1:23" ht="12.75" hidden="1">
      <c r="A31" s="40"/>
      <c r="B31" s="40"/>
      <c r="C31" s="40"/>
      <c r="D31" s="70" t="s">
        <v>209</v>
      </c>
      <c r="E31" s="37">
        <f t="shared" si="1"/>
        <v>0</v>
      </c>
      <c r="F31" s="135"/>
      <c r="G31" s="38"/>
      <c r="H31" s="38"/>
      <c r="I31" s="38"/>
      <c r="J31" s="38">
        <f t="shared" si="3"/>
        <v>0</v>
      </c>
      <c r="K31" s="38"/>
      <c r="L31" s="38"/>
      <c r="M31" s="38"/>
      <c r="N31" s="38">
        <f>36104-36104</f>
        <v>0</v>
      </c>
      <c r="O31" s="38"/>
      <c r="P31" s="56">
        <f t="shared" si="0"/>
        <v>0</v>
      </c>
      <c r="Q31" s="54"/>
      <c r="R31" s="60"/>
      <c r="W31" s="54"/>
    </row>
    <row r="32" spans="1:23" ht="27.75" customHeight="1" hidden="1">
      <c r="A32" s="40"/>
      <c r="B32" s="40"/>
      <c r="C32" s="40"/>
      <c r="D32" s="70" t="s">
        <v>231</v>
      </c>
      <c r="E32" s="37">
        <f t="shared" si="1"/>
        <v>0</v>
      </c>
      <c r="F32" s="135"/>
      <c r="G32" s="38"/>
      <c r="H32" s="38"/>
      <c r="I32" s="38"/>
      <c r="J32" s="38"/>
      <c r="K32" s="38"/>
      <c r="L32" s="38"/>
      <c r="M32" s="38"/>
      <c r="N32" s="38"/>
      <c r="O32" s="38"/>
      <c r="P32" s="56"/>
      <c r="Q32" s="54"/>
      <c r="R32" s="60"/>
      <c r="W32" s="54"/>
    </row>
    <row r="33" spans="1:23" ht="51" hidden="1">
      <c r="A33" s="40"/>
      <c r="B33" s="40"/>
      <c r="C33" s="40"/>
      <c r="D33" s="70" t="s">
        <v>149</v>
      </c>
      <c r="E33" s="37">
        <f t="shared" si="1"/>
        <v>285870</v>
      </c>
      <c r="F33" s="38">
        <f>224604+53804+7462</f>
        <v>285870</v>
      </c>
      <c r="G33" s="38"/>
      <c r="H33" s="38"/>
      <c r="I33" s="38"/>
      <c r="J33" s="38">
        <f t="shared" si="3"/>
        <v>0</v>
      </c>
      <c r="K33" s="38"/>
      <c r="L33" s="38"/>
      <c r="M33" s="38"/>
      <c r="N33" s="38">
        <f>O33</f>
        <v>0</v>
      </c>
      <c r="O33" s="38"/>
      <c r="P33" s="56">
        <f t="shared" si="0"/>
        <v>285870</v>
      </c>
      <c r="Q33" s="54"/>
      <c r="R33" s="60"/>
      <c r="W33" s="54"/>
    </row>
    <row r="34" spans="1:23" ht="38.25" customHeight="1" hidden="1">
      <c r="A34" s="40"/>
      <c r="B34" s="40"/>
      <c r="C34" s="40"/>
      <c r="D34" s="70" t="s">
        <v>180</v>
      </c>
      <c r="E34" s="37">
        <f t="shared" si="1"/>
        <v>306507</v>
      </c>
      <c r="F34" s="38">
        <v>306507</v>
      </c>
      <c r="G34" s="38"/>
      <c r="H34" s="38"/>
      <c r="I34" s="38"/>
      <c r="J34" s="38">
        <f t="shared" si="3"/>
        <v>0</v>
      </c>
      <c r="K34" s="38"/>
      <c r="L34" s="38"/>
      <c r="M34" s="38"/>
      <c r="N34" s="38"/>
      <c r="O34" s="38"/>
      <c r="P34" s="56">
        <f t="shared" si="0"/>
        <v>306507</v>
      </c>
      <c r="Q34" s="54"/>
      <c r="R34" s="60"/>
      <c r="W34" s="54"/>
    </row>
    <row r="35" spans="1:23" ht="51.75" customHeight="1" hidden="1">
      <c r="A35" s="40"/>
      <c r="B35" s="40"/>
      <c r="C35" s="40"/>
      <c r="D35" s="129" t="s">
        <v>152</v>
      </c>
      <c r="E35" s="37">
        <f t="shared" si="1"/>
        <v>4664512</v>
      </c>
      <c r="F35" s="78">
        <f>4204513+17374+182000+260625</f>
        <v>4664512</v>
      </c>
      <c r="G35" s="38">
        <f>1821020+135650</f>
        <v>1956670</v>
      </c>
      <c r="H35" s="38">
        <v>109037</v>
      </c>
      <c r="I35" s="38"/>
      <c r="J35" s="38">
        <f t="shared" si="3"/>
        <v>0</v>
      </c>
      <c r="K35" s="38"/>
      <c r="L35" s="38"/>
      <c r="M35" s="38"/>
      <c r="N35" s="38"/>
      <c r="O35" s="38"/>
      <c r="P35" s="56">
        <f t="shared" si="0"/>
        <v>4664512</v>
      </c>
      <c r="Q35" s="54"/>
      <c r="R35" s="60"/>
      <c r="W35" s="54"/>
    </row>
    <row r="36" spans="1:23" ht="38.25" hidden="1">
      <c r="A36" s="40"/>
      <c r="B36" s="40"/>
      <c r="C36" s="40"/>
      <c r="D36" s="70" t="s">
        <v>46</v>
      </c>
      <c r="E36" s="37">
        <f t="shared" si="1"/>
        <v>39777</v>
      </c>
      <c r="F36" s="38">
        <f>4077+35700</f>
        <v>39777</v>
      </c>
      <c r="G36" s="38"/>
      <c r="H36" s="38"/>
      <c r="I36" s="38"/>
      <c r="J36" s="38"/>
      <c r="K36" s="38"/>
      <c r="L36" s="38"/>
      <c r="M36" s="38"/>
      <c r="N36" s="38"/>
      <c r="O36" s="38"/>
      <c r="P36" s="56">
        <f t="shared" si="0"/>
        <v>39777</v>
      </c>
      <c r="Q36" s="54"/>
      <c r="R36" s="60"/>
      <c r="W36" s="54"/>
    </row>
    <row r="37" spans="1:23" s="55" customFormat="1" ht="41.25" customHeight="1">
      <c r="A37" s="100"/>
      <c r="B37" s="100" t="s">
        <v>162</v>
      </c>
      <c r="C37" s="100"/>
      <c r="D37" s="101" t="s">
        <v>118</v>
      </c>
      <c r="E37" s="52">
        <f>E38+E40+E60+E65+E73+E84+E88+E80+E82</f>
        <v>985938874</v>
      </c>
      <c r="F37" s="52">
        <f>F38+F40+F60+F65+F73+F84+F88+F80+F82</f>
        <v>985938874</v>
      </c>
      <c r="G37" s="52">
        <f>G38+G40+G60+G65+G73+G84+G88+G80+G82</f>
        <v>527931515</v>
      </c>
      <c r="H37" s="52">
        <f>H38+H40+H60+H65+H73+H84+H88+H80+H82</f>
        <v>176729135</v>
      </c>
      <c r="I37" s="52">
        <f>I38+I40+I60+I65+I73+I84+I88+I80+I82</f>
        <v>0</v>
      </c>
      <c r="J37" s="52">
        <f>J38+J40+J60+J65+J73+J84+J88+J82</f>
        <v>101487996</v>
      </c>
      <c r="K37" s="52">
        <f>K38+K40+K60+K65+K73+K84+K88</f>
        <v>39326669</v>
      </c>
      <c r="L37" s="52">
        <f>L38+L40+L60+L65+L73+L84+L88</f>
        <v>6043166</v>
      </c>
      <c r="M37" s="52">
        <f>M38+M40+M60+M65+M73+M84+M88</f>
        <v>422025</v>
      </c>
      <c r="N37" s="52">
        <f>N38+N40+N60+N65+N73+N84+N88+N82</f>
        <v>62161327</v>
      </c>
      <c r="O37" s="52">
        <f>O38+O40+O60+O65+O73+O84+O88+O82</f>
        <v>61442125</v>
      </c>
      <c r="P37" s="53">
        <f>E37+J37</f>
        <v>1087426870</v>
      </c>
      <c r="Q37" s="54"/>
      <c r="R37" s="54"/>
      <c r="W37" s="54"/>
    </row>
    <row r="38" spans="1:23" s="58" customFormat="1" ht="12.75">
      <c r="A38" s="43"/>
      <c r="B38" s="43" t="s">
        <v>363</v>
      </c>
      <c r="C38" s="43"/>
      <c r="D38" s="44" t="s">
        <v>364</v>
      </c>
      <c r="E38" s="37">
        <f>E39</f>
        <v>5588496</v>
      </c>
      <c r="F38" s="37">
        <f>F39</f>
        <v>5588496</v>
      </c>
      <c r="G38" s="37">
        <f>G39</f>
        <v>3722724</v>
      </c>
      <c r="H38" s="37">
        <f>H39</f>
        <v>375668</v>
      </c>
      <c r="I38" s="37"/>
      <c r="J38" s="38">
        <f aca="true" t="shared" si="6" ref="J38:J88">K38+N38</f>
        <v>0</v>
      </c>
      <c r="K38" s="37"/>
      <c r="L38" s="37"/>
      <c r="M38" s="37"/>
      <c r="N38" s="37">
        <f>O38</f>
        <v>0</v>
      </c>
      <c r="O38" s="37">
        <f>O39</f>
        <v>0</v>
      </c>
      <c r="P38" s="56">
        <f aca="true" t="shared" si="7" ref="P38:P60">E38+J38</f>
        <v>5588496</v>
      </c>
      <c r="Q38" s="54"/>
      <c r="R38" s="57"/>
      <c r="W38" s="54"/>
    </row>
    <row r="39" spans="1:23" ht="12.75">
      <c r="A39" s="40"/>
      <c r="B39" s="40" t="s">
        <v>248</v>
      </c>
      <c r="C39" s="76" t="s">
        <v>4</v>
      </c>
      <c r="D39" s="59" t="s">
        <v>249</v>
      </c>
      <c r="E39" s="38">
        <f>F39+I39</f>
        <v>5588496</v>
      </c>
      <c r="F39" s="38">
        <f>5510077+339+78080</f>
        <v>5588496</v>
      </c>
      <c r="G39" s="38">
        <f>3665058+57666</f>
        <v>3722724</v>
      </c>
      <c r="H39" s="38">
        <v>375668</v>
      </c>
      <c r="I39" s="38"/>
      <c r="J39" s="38">
        <f t="shared" si="6"/>
        <v>0</v>
      </c>
      <c r="K39" s="38"/>
      <c r="L39" s="38"/>
      <c r="M39" s="38"/>
      <c r="N39" s="38">
        <f>O39</f>
        <v>0</v>
      </c>
      <c r="O39" s="38"/>
      <c r="P39" s="56">
        <f t="shared" si="7"/>
        <v>5588496</v>
      </c>
      <c r="Q39" s="54"/>
      <c r="R39" s="60"/>
      <c r="W39" s="54"/>
    </row>
    <row r="40" spans="1:23" ht="12.75">
      <c r="A40" s="40"/>
      <c r="B40" s="40" t="s">
        <v>250</v>
      </c>
      <c r="C40" s="40"/>
      <c r="D40" s="59" t="s">
        <v>251</v>
      </c>
      <c r="E40" s="38">
        <f>SUM(E41:E58)-E45-E47-E49</f>
        <v>942243581</v>
      </c>
      <c r="F40" s="38">
        <f>SUM(F41:F58)-F45-F47-F49</f>
        <v>942243581</v>
      </c>
      <c r="G40" s="38">
        <f>SUM(G41:G58)-G45-G47-G49</f>
        <v>508596347</v>
      </c>
      <c r="H40" s="38">
        <f>SUM(H41:H58)-H45-H47-H49</f>
        <v>173155086</v>
      </c>
      <c r="I40" s="38"/>
      <c r="J40" s="38">
        <f aca="true" t="shared" si="8" ref="J40:O40">J41+J43+J46+J48+J50+J52+J53+J54+J55+J56+J57</f>
        <v>58813760</v>
      </c>
      <c r="K40" s="38">
        <f t="shared" si="8"/>
        <v>38332829</v>
      </c>
      <c r="L40" s="38">
        <f t="shared" si="8"/>
        <v>5772194</v>
      </c>
      <c r="M40" s="38">
        <f t="shared" si="8"/>
        <v>312525</v>
      </c>
      <c r="N40" s="38">
        <f t="shared" si="8"/>
        <v>20480931</v>
      </c>
      <c r="O40" s="38">
        <f t="shared" si="8"/>
        <v>20301729</v>
      </c>
      <c r="P40" s="56">
        <f t="shared" si="7"/>
        <v>1001057341</v>
      </c>
      <c r="Q40" s="54"/>
      <c r="R40" s="60"/>
      <c r="W40" s="54"/>
    </row>
    <row r="41" spans="1:23" ht="12.75">
      <c r="A41" s="40"/>
      <c r="B41" s="40" t="s">
        <v>293</v>
      </c>
      <c r="C41" s="76" t="s">
        <v>8</v>
      </c>
      <c r="D41" s="63" t="s">
        <v>290</v>
      </c>
      <c r="E41" s="38">
        <f>F41+I41</f>
        <v>276915241</v>
      </c>
      <c r="F41" s="38">
        <f>263678721+151646+1179319-100000-666000+6388550+(590000)+4782022-51500-10858+1041500-(200000)-(2892)+180788-(10000)-(36055)</f>
        <v>276915241</v>
      </c>
      <c r="G41" s="38">
        <f>132214909+4436700+769000</f>
        <v>137420609</v>
      </c>
      <c r="H41" s="38">
        <v>58106571</v>
      </c>
      <c r="I41" s="38"/>
      <c r="J41" s="38">
        <f>K41+N41</f>
        <v>31814420</v>
      </c>
      <c r="K41" s="38">
        <v>22313162</v>
      </c>
      <c r="L41" s="38">
        <v>136447</v>
      </c>
      <c r="M41" s="38">
        <v>17808</v>
      </c>
      <c r="N41" s="38">
        <f>O41</f>
        <v>9501258</v>
      </c>
      <c r="O41" s="78">
        <f>4243591+4600730+(400000)+237400+19537</f>
        <v>9501258</v>
      </c>
      <c r="P41" s="56">
        <f t="shared" si="7"/>
        <v>308729661</v>
      </c>
      <c r="Q41" s="54"/>
      <c r="R41" s="60"/>
      <c r="W41" s="54"/>
    </row>
    <row r="42" spans="1:23" ht="45" hidden="1">
      <c r="A42" s="40"/>
      <c r="B42" s="40"/>
      <c r="C42" s="40"/>
      <c r="D42" s="96" t="s">
        <v>109</v>
      </c>
      <c r="E42" s="38">
        <f aca="true" t="shared" si="9" ref="E42:E57">F42+I42</f>
        <v>0</v>
      </c>
      <c r="F42" s="38"/>
      <c r="G42" s="38"/>
      <c r="H42" s="38"/>
      <c r="I42" s="38"/>
      <c r="J42" s="38">
        <f t="shared" si="6"/>
        <v>0</v>
      </c>
      <c r="K42" s="38"/>
      <c r="L42" s="38"/>
      <c r="M42" s="38"/>
      <c r="N42" s="38"/>
      <c r="O42" s="78"/>
      <c r="P42" s="56">
        <f t="shared" si="7"/>
        <v>0</v>
      </c>
      <c r="Q42" s="54"/>
      <c r="R42" s="60"/>
      <c r="W42" s="54"/>
    </row>
    <row r="43" spans="1:23" ht="51">
      <c r="A43" s="40"/>
      <c r="B43" s="40" t="s">
        <v>252</v>
      </c>
      <c r="C43" s="76" t="s">
        <v>9</v>
      </c>
      <c r="D43" s="77" t="s">
        <v>99</v>
      </c>
      <c r="E43" s="38">
        <f t="shared" si="9"/>
        <v>586375652</v>
      </c>
      <c r="F43" s="78">
        <f>563438962+313147+640500+11049275-40000+(995300)+555078+49890+9373500</f>
        <v>586375652</v>
      </c>
      <c r="G43" s="38">
        <f>310357528+7034500-29400+6380800</f>
        <v>323743428</v>
      </c>
      <c r="H43" s="38">
        <v>104027067</v>
      </c>
      <c r="I43" s="38"/>
      <c r="J43" s="38">
        <f>K43+N43</f>
        <v>24898886</v>
      </c>
      <c r="K43" s="38">
        <v>15150433</v>
      </c>
      <c r="L43" s="38">
        <v>5532491</v>
      </c>
      <c r="M43" s="38">
        <v>286891</v>
      </c>
      <c r="N43" s="38">
        <f>179202+O43</f>
        <v>9748453</v>
      </c>
      <c r="O43" s="38">
        <f>4585140+3160580+(965000)-(6000)-(50000)+914531</f>
        <v>9569251</v>
      </c>
      <c r="P43" s="56">
        <f t="shared" si="7"/>
        <v>611274538</v>
      </c>
      <c r="Q43" s="54"/>
      <c r="R43" s="60"/>
      <c r="W43" s="54"/>
    </row>
    <row r="44" spans="1:23" ht="45" hidden="1">
      <c r="A44" s="40"/>
      <c r="B44" s="40"/>
      <c r="C44" s="40"/>
      <c r="D44" s="96" t="s">
        <v>109</v>
      </c>
      <c r="E44" s="38">
        <f t="shared" si="9"/>
        <v>0</v>
      </c>
      <c r="F44" s="78"/>
      <c r="G44" s="38"/>
      <c r="H44" s="38"/>
      <c r="I44" s="38"/>
      <c r="J44" s="38">
        <f t="shared" si="6"/>
        <v>0</v>
      </c>
      <c r="K44" s="38"/>
      <c r="L44" s="38"/>
      <c r="M44" s="38"/>
      <c r="N44" s="38"/>
      <c r="O44" s="38"/>
      <c r="P44" s="56">
        <f t="shared" si="7"/>
        <v>0</v>
      </c>
      <c r="Q44" s="54"/>
      <c r="R44" s="60"/>
      <c r="W44" s="54"/>
    </row>
    <row r="45" spans="1:23" ht="12.75">
      <c r="A45" s="40"/>
      <c r="B45" s="40"/>
      <c r="C45" s="40"/>
      <c r="D45" s="96" t="s">
        <v>426</v>
      </c>
      <c r="E45" s="38">
        <f>F45</f>
        <v>442813797</v>
      </c>
      <c r="F45" s="78">
        <f>441803297+1010500</f>
        <v>442813797</v>
      </c>
      <c r="G45" s="38">
        <f>290157626-22589900+4786261-4786261+961079</f>
        <v>268528805</v>
      </c>
      <c r="H45" s="38">
        <f>19174176+31764400+23797502-6523674+6523674-1309951</f>
        <v>73426127</v>
      </c>
      <c r="I45" s="38"/>
      <c r="J45" s="38"/>
      <c r="K45" s="38"/>
      <c r="L45" s="38"/>
      <c r="M45" s="38"/>
      <c r="N45" s="38"/>
      <c r="O45" s="38"/>
      <c r="P45" s="56">
        <f t="shared" si="7"/>
        <v>442813797</v>
      </c>
      <c r="Q45" s="54"/>
      <c r="R45" s="60"/>
      <c r="W45" s="54"/>
    </row>
    <row r="46" spans="1:23" ht="12.75">
      <c r="A46" s="89"/>
      <c r="B46" s="89" t="s">
        <v>294</v>
      </c>
      <c r="C46" s="76" t="s">
        <v>9</v>
      </c>
      <c r="D46" s="90" t="s">
        <v>301</v>
      </c>
      <c r="E46" s="38">
        <f t="shared" si="9"/>
        <v>8650926</v>
      </c>
      <c r="F46" s="78">
        <f>8410684+4360+222400+(10000)+1872+1610</f>
        <v>8650926</v>
      </c>
      <c r="G46" s="38">
        <f>5421362+164600</f>
        <v>5585962</v>
      </c>
      <c r="H46" s="38">
        <v>1054319</v>
      </c>
      <c r="I46" s="38"/>
      <c r="J46" s="38">
        <f t="shared" si="6"/>
        <v>188456</v>
      </c>
      <c r="K46" s="38">
        <v>28406</v>
      </c>
      <c r="L46" s="38"/>
      <c r="M46" s="38">
        <v>51</v>
      </c>
      <c r="N46" s="38">
        <f>O46</f>
        <v>160050</v>
      </c>
      <c r="O46" s="38">
        <f>21500+88550+(50000)</f>
        <v>160050</v>
      </c>
      <c r="P46" s="56">
        <f t="shared" si="7"/>
        <v>8839382</v>
      </c>
      <c r="Q46" s="54"/>
      <c r="R46" s="60"/>
      <c r="W46" s="54"/>
    </row>
    <row r="47" spans="1:23" ht="12.75">
      <c r="A47" s="89"/>
      <c r="B47" s="89"/>
      <c r="C47" s="89"/>
      <c r="D47" s="96" t="s">
        <v>426</v>
      </c>
      <c r="E47" s="38">
        <f>F47</f>
        <v>7789304</v>
      </c>
      <c r="F47" s="78">
        <f>8371904-582600</f>
        <v>7789304</v>
      </c>
      <c r="G47" s="38">
        <f>5415362-431000</f>
        <v>4984362</v>
      </c>
      <c r="H47" s="38">
        <v>1054319</v>
      </c>
      <c r="I47" s="38"/>
      <c r="J47" s="38"/>
      <c r="K47" s="38"/>
      <c r="L47" s="38"/>
      <c r="M47" s="38"/>
      <c r="N47" s="38"/>
      <c r="O47" s="38"/>
      <c r="P47" s="56">
        <f t="shared" si="7"/>
        <v>7789304</v>
      </c>
      <c r="Q47" s="54"/>
      <c r="R47" s="60"/>
      <c r="W47" s="54"/>
    </row>
    <row r="48" spans="1:23" s="3" customFormat="1" ht="51">
      <c r="A48" s="8"/>
      <c r="B48" s="8" t="s">
        <v>295</v>
      </c>
      <c r="C48" s="8" t="s">
        <v>10</v>
      </c>
      <c r="D48" s="2" t="s">
        <v>296</v>
      </c>
      <c r="E48" s="38">
        <f t="shared" si="9"/>
        <v>5462899</v>
      </c>
      <c r="F48" s="136">
        <f>5401499+61400</f>
        <v>5462899</v>
      </c>
      <c r="G48" s="27">
        <f>3983967+45200</f>
        <v>4029167</v>
      </c>
      <c r="H48" s="27"/>
      <c r="I48" s="27"/>
      <c r="J48" s="27">
        <f t="shared" si="6"/>
        <v>0</v>
      </c>
      <c r="K48" s="27"/>
      <c r="L48" s="27"/>
      <c r="M48" s="27"/>
      <c r="N48" s="27"/>
      <c r="O48" s="27"/>
      <c r="P48" s="26">
        <f t="shared" si="7"/>
        <v>5462899</v>
      </c>
      <c r="Q48" s="54"/>
      <c r="W48" s="54"/>
    </row>
    <row r="49" spans="1:23" s="3" customFormat="1" ht="12.75">
      <c r="A49" s="8"/>
      <c r="B49" s="8"/>
      <c r="C49" s="8"/>
      <c r="D49" s="96" t="s">
        <v>426</v>
      </c>
      <c r="E49" s="38">
        <f>F49</f>
        <v>4973599</v>
      </c>
      <c r="F49" s="136">
        <f>5401499-427900</f>
        <v>4973599</v>
      </c>
      <c r="G49" s="27">
        <f>3983967-315600</f>
        <v>3668367</v>
      </c>
      <c r="H49" s="27"/>
      <c r="I49" s="27"/>
      <c r="J49" s="27"/>
      <c r="K49" s="27"/>
      <c r="L49" s="27"/>
      <c r="M49" s="27"/>
      <c r="N49" s="27"/>
      <c r="O49" s="27"/>
      <c r="P49" s="26">
        <f t="shared" si="7"/>
        <v>4973599</v>
      </c>
      <c r="Q49" s="54"/>
      <c r="W49" s="54"/>
    </row>
    <row r="50" spans="1:23" ht="25.5">
      <c r="A50" s="138"/>
      <c r="B50" s="138" t="s">
        <v>253</v>
      </c>
      <c r="C50" s="88" t="s">
        <v>11</v>
      </c>
      <c r="D50" s="59" t="s">
        <v>254</v>
      </c>
      <c r="E50" s="38">
        <f t="shared" si="9"/>
        <v>35242385</v>
      </c>
      <c r="F50" s="78">
        <f>34429423+13221+25500+878450+(50000)+2991+(10000)+81200-248400</f>
        <v>35242385</v>
      </c>
      <c r="G50" s="38">
        <f>19001786+607900+56300</f>
        <v>19665986</v>
      </c>
      <c r="H50" s="38">
        <v>7631538</v>
      </c>
      <c r="I50" s="38"/>
      <c r="J50" s="38">
        <f>K50+N50</f>
        <v>988025</v>
      </c>
      <c r="K50" s="38">
        <v>387070</v>
      </c>
      <c r="L50" s="38">
        <v>103256</v>
      </c>
      <c r="M50" s="38">
        <v>7775</v>
      </c>
      <c r="N50" s="38">
        <f>O50</f>
        <v>600955</v>
      </c>
      <c r="O50" s="38">
        <f>249874+110400+1720+(75000)+163961</f>
        <v>600955</v>
      </c>
      <c r="P50" s="56">
        <f t="shared" si="7"/>
        <v>36230410</v>
      </c>
      <c r="Q50" s="54"/>
      <c r="R50" s="60"/>
      <c r="W50" s="54"/>
    </row>
    <row r="51" spans="1:23" ht="42.75" customHeight="1" hidden="1">
      <c r="A51" s="40"/>
      <c r="B51" s="40"/>
      <c r="C51" s="40"/>
      <c r="D51" s="96" t="s">
        <v>109</v>
      </c>
      <c r="E51" s="38">
        <f t="shared" si="9"/>
        <v>0</v>
      </c>
      <c r="F51" s="78"/>
      <c r="G51" s="38"/>
      <c r="H51" s="38"/>
      <c r="I51" s="38"/>
      <c r="J51" s="38">
        <f t="shared" si="6"/>
        <v>0</v>
      </c>
      <c r="K51" s="38"/>
      <c r="L51" s="38"/>
      <c r="M51" s="38"/>
      <c r="N51" s="38"/>
      <c r="O51" s="38"/>
      <c r="P51" s="56">
        <f t="shared" si="7"/>
        <v>0</v>
      </c>
      <c r="Q51" s="54"/>
      <c r="R51" s="60"/>
      <c r="W51" s="54"/>
    </row>
    <row r="52" spans="1:23" ht="27.75" customHeight="1">
      <c r="A52" s="40"/>
      <c r="B52" s="40" t="s">
        <v>255</v>
      </c>
      <c r="C52" s="76" t="s">
        <v>12</v>
      </c>
      <c r="D52" s="77" t="s">
        <v>345</v>
      </c>
      <c r="E52" s="38">
        <f t="shared" si="9"/>
        <v>3750322</v>
      </c>
      <c r="F52" s="78">
        <f>3676144+678+67100+6400</f>
        <v>3750322</v>
      </c>
      <c r="G52" s="38">
        <f>2503062+49200+4700</f>
        <v>2556962</v>
      </c>
      <c r="H52" s="38">
        <v>169398</v>
      </c>
      <c r="I52" s="38"/>
      <c r="J52" s="38">
        <f t="shared" si="6"/>
        <v>15000</v>
      </c>
      <c r="K52" s="38">
        <v>0</v>
      </c>
      <c r="L52" s="38"/>
      <c r="M52" s="38"/>
      <c r="N52" s="38">
        <f>O52</f>
        <v>15000</v>
      </c>
      <c r="O52" s="38">
        <v>15000</v>
      </c>
      <c r="P52" s="56">
        <f t="shared" si="7"/>
        <v>3765322</v>
      </c>
      <c r="Q52" s="54"/>
      <c r="R52" s="60"/>
      <c r="W52" s="54"/>
    </row>
    <row r="53" spans="1:23" ht="35.25" customHeight="1">
      <c r="A53" s="40"/>
      <c r="B53" s="40" t="s">
        <v>78</v>
      </c>
      <c r="C53" s="76" t="s">
        <v>12</v>
      </c>
      <c r="D53" s="70" t="s">
        <v>55</v>
      </c>
      <c r="E53" s="38">
        <f t="shared" si="9"/>
        <v>1186513</v>
      </c>
      <c r="F53" s="38">
        <f>1166713+16900+2900</f>
        <v>1186513</v>
      </c>
      <c r="G53" s="38">
        <f>632827+12400+2100</f>
        <v>647327</v>
      </c>
      <c r="H53" s="38">
        <v>32036</v>
      </c>
      <c r="I53" s="38"/>
      <c r="J53" s="38">
        <f>K53+N53</f>
        <v>17400</v>
      </c>
      <c r="K53" s="38"/>
      <c r="L53" s="38"/>
      <c r="M53" s="38"/>
      <c r="N53" s="38">
        <f>O53</f>
        <v>17400</v>
      </c>
      <c r="O53" s="38">
        <v>17400</v>
      </c>
      <c r="P53" s="56">
        <f t="shared" si="7"/>
        <v>1203913</v>
      </c>
      <c r="Q53" s="54"/>
      <c r="R53" s="60"/>
      <c r="W53" s="54"/>
    </row>
    <row r="54" spans="1:23" ht="41.25" customHeight="1">
      <c r="A54" s="40"/>
      <c r="B54" s="40" t="s">
        <v>256</v>
      </c>
      <c r="C54" s="76" t="s">
        <v>12</v>
      </c>
      <c r="D54" s="36" t="s">
        <v>346</v>
      </c>
      <c r="E54" s="38">
        <f t="shared" si="9"/>
        <v>13761274</v>
      </c>
      <c r="F54" s="78">
        <f>13418809+3165+325150-1850+16000</f>
        <v>13761274</v>
      </c>
      <c r="G54" s="38">
        <f>8449198+238000+10700</f>
        <v>8697898</v>
      </c>
      <c r="H54" s="38">
        <v>866395</v>
      </c>
      <c r="I54" s="38"/>
      <c r="J54" s="38">
        <f>K54+N54</f>
        <v>222490</v>
      </c>
      <c r="K54" s="38">
        <v>25005</v>
      </c>
      <c r="L54" s="38"/>
      <c r="M54" s="38"/>
      <c r="N54" s="38">
        <f>O54</f>
        <v>197485</v>
      </c>
      <c r="O54" s="38">
        <v>197485</v>
      </c>
      <c r="P54" s="56">
        <f>E54+J54</f>
        <v>13983764</v>
      </c>
      <c r="Q54" s="54"/>
      <c r="R54" s="60"/>
      <c r="W54" s="54"/>
    </row>
    <row r="55" spans="1:23" ht="25.5">
      <c r="A55" s="40"/>
      <c r="B55" s="40" t="s">
        <v>257</v>
      </c>
      <c r="C55" s="76" t="s">
        <v>12</v>
      </c>
      <c r="D55" s="70" t="s">
        <v>347</v>
      </c>
      <c r="E55" s="38">
        <f t="shared" si="9"/>
        <v>5484482</v>
      </c>
      <c r="F55" s="38">
        <f>5334350+8407+131875+1850+8000</f>
        <v>5484482</v>
      </c>
      <c r="G55" s="38">
        <f>3003863+81700+4300</f>
        <v>3089863</v>
      </c>
      <c r="H55" s="38">
        <v>612393</v>
      </c>
      <c r="I55" s="38"/>
      <c r="J55" s="38">
        <f t="shared" si="6"/>
        <v>564763</v>
      </c>
      <c r="K55" s="38">
        <v>428753</v>
      </c>
      <c r="L55" s="38"/>
      <c r="M55" s="38"/>
      <c r="N55" s="38">
        <f>O55</f>
        <v>136010</v>
      </c>
      <c r="O55" s="38">
        <f>58710+77300</f>
        <v>136010</v>
      </c>
      <c r="P55" s="56">
        <f t="shared" si="7"/>
        <v>6049245</v>
      </c>
      <c r="Q55" s="54"/>
      <c r="R55" s="60"/>
      <c r="W55" s="54"/>
    </row>
    <row r="56" spans="1:23" ht="12.75">
      <c r="A56" s="76"/>
      <c r="B56" s="76" t="s">
        <v>94</v>
      </c>
      <c r="C56" s="76" t="s">
        <v>12</v>
      </c>
      <c r="D56" s="70" t="s">
        <v>95</v>
      </c>
      <c r="E56" s="38">
        <f t="shared" si="9"/>
        <v>5142387</v>
      </c>
      <c r="F56" s="38">
        <f>5007395+6134+73000+10858+45000</f>
        <v>5142387</v>
      </c>
      <c r="G56" s="38">
        <f>3073345+53600+32200</f>
        <v>3159145</v>
      </c>
      <c r="H56" s="38">
        <v>655369</v>
      </c>
      <c r="I56" s="38"/>
      <c r="J56" s="38">
        <f t="shared" si="6"/>
        <v>104320</v>
      </c>
      <c r="K56" s="38"/>
      <c r="L56" s="38"/>
      <c r="M56" s="38"/>
      <c r="N56" s="38">
        <f>O56</f>
        <v>104320</v>
      </c>
      <c r="O56" s="38">
        <f>10000+88320+(6000)</f>
        <v>104320</v>
      </c>
      <c r="P56" s="56">
        <f t="shared" si="7"/>
        <v>5246707</v>
      </c>
      <c r="Q56" s="54"/>
      <c r="R56" s="60"/>
      <c r="W56" s="54"/>
    </row>
    <row r="57" spans="1:23" ht="45" customHeight="1">
      <c r="A57" s="40"/>
      <c r="B57" s="40" t="s">
        <v>66</v>
      </c>
      <c r="C57" s="76" t="s">
        <v>12</v>
      </c>
      <c r="D57" s="36" t="s">
        <v>67</v>
      </c>
      <c r="E57" s="38">
        <f t="shared" si="9"/>
        <v>271500</v>
      </c>
      <c r="F57" s="38">
        <v>271500</v>
      </c>
      <c r="G57" s="38"/>
      <c r="H57" s="38"/>
      <c r="I57" s="38"/>
      <c r="J57" s="38">
        <f t="shared" si="6"/>
        <v>0</v>
      </c>
      <c r="K57" s="38"/>
      <c r="L57" s="38"/>
      <c r="M57" s="38"/>
      <c r="N57" s="38"/>
      <c r="O57" s="38"/>
      <c r="P57" s="56">
        <f t="shared" si="7"/>
        <v>271500</v>
      </c>
      <c r="Q57" s="54"/>
      <c r="R57" s="60"/>
      <c r="W57" s="54"/>
    </row>
    <row r="58" spans="1:23" ht="102" hidden="1">
      <c r="A58" s="40"/>
      <c r="B58" s="40" t="s">
        <v>74</v>
      </c>
      <c r="C58" s="40"/>
      <c r="D58" s="36" t="s">
        <v>75</v>
      </c>
      <c r="E58" s="38"/>
      <c r="F58" s="38"/>
      <c r="G58" s="38"/>
      <c r="H58" s="38"/>
      <c r="I58" s="38"/>
      <c r="J58" s="38">
        <f t="shared" si="6"/>
        <v>0</v>
      </c>
      <c r="K58" s="38"/>
      <c r="L58" s="38"/>
      <c r="M58" s="38"/>
      <c r="N58" s="38"/>
      <c r="O58" s="38"/>
      <c r="P58" s="56">
        <f t="shared" si="7"/>
        <v>0</v>
      </c>
      <c r="Q58" s="54"/>
      <c r="R58" s="60"/>
      <c r="W58" s="54"/>
    </row>
    <row r="59" spans="1:23" ht="25.5" hidden="1">
      <c r="A59" s="40"/>
      <c r="B59" s="40"/>
      <c r="C59" s="40"/>
      <c r="D59" s="36" t="s">
        <v>382</v>
      </c>
      <c r="E59" s="38"/>
      <c r="F59" s="38"/>
      <c r="G59" s="38"/>
      <c r="H59" s="38"/>
      <c r="I59" s="38"/>
      <c r="J59" s="38"/>
      <c r="K59" s="38"/>
      <c r="L59" s="38"/>
      <c r="M59" s="38"/>
      <c r="N59" s="38"/>
      <c r="O59" s="38"/>
      <c r="P59" s="56">
        <f t="shared" si="7"/>
        <v>0</v>
      </c>
      <c r="Q59" s="54"/>
      <c r="R59" s="60"/>
      <c r="W59" s="54"/>
    </row>
    <row r="60" spans="1:23" ht="27" customHeight="1">
      <c r="A60" s="40"/>
      <c r="B60" s="40" t="s">
        <v>270</v>
      </c>
      <c r="C60" s="40"/>
      <c r="D60" s="36" t="s">
        <v>317</v>
      </c>
      <c r="E60" s="38">
        <f>SUM(E61:E64)</f>
        <v>7744333</v>
      </c>
      <c r="F60" s="38">
        <f>SUM(F61:F64)</f>
        <v>7744333</v>
      </c>
      <c r="G60" s="38">
        <f>SUM(G61:G64)</f>
        <v>0</v>
      </c>
      <c r="H60" s="38">
        <f>SUM(H61:H64)</f>
        <v>0</v>
      </c>
      <c r="I60" s="38"/>
      <c r="J60" s="38">
        <f>K60+N60</f>
        <v>0</v>
      </c>
      <c r="K60" s="38">
        <f>SUM(K61:K64)</f>
        <v>0</v>
      </c>
      <c r="L60" s="38">
        <f>SUM(L61:L64)</f>
        <v>0</v>
      </c>
      <c r="M60" s="38">
        <f>SUM(M61:M64)</f>
        <v>0</v>
      </c>
      <c r="N60" s="38">
        <f>SUM(N61:N64)</f>
        <v>0</v>
      </c>
      <c r="O60" s="38">
        <f>SUM(O61:O64)</f>
        <v>0</v>
      </c>
      <c r="P60" s="56">
        <f t="shared" si="7"/>
        <v>7744333</v>
      </c>
      <c r="Q60" s="54"/>
      <c r="R60" s="60"/>
      <c r="W60" s="54"/>
    </row>
    <row r="61" spans="1:23" ht="33.75" customHeight="1" hidden="1">
      <c r="A61" s="40"/>
      <c r="B61" s="40" t="s">
        <v>343</v>
      </c>
      <c r="C61" s="40"/>
      <c r="D61" s="61" t="s">
        <v>65</v>
      </c>
      <c r="E61" s="38">
        <f>5344508+335111+31491-5711110</f>
        <v>0</v>
      </c>
      <c r="F61" s="38"/>
      <c r="G61" s="38">
        <f>3648888-3648888</f>
        <v>0</v>
      </c>
      <c r="H61" s="38">
        <f>127100+26092-153192</f>
        <v>0</v>
      </c>
      <c r="I61" s="38"/>
      <c r="J61" s="38">
        <f>K61+N61</f>
        <v>0</v>
      </c>
      <c r="K61" s="38"/>
      <c r="L61" s="38"/>
      <c r="M61" s="38"/>
      <c r="N61" s="135">
        <f>99960+96590-196550</f>
        <v>0</v>
      </c>
      <c r="O61" s="135">
        <f>N61</f>
        <v>0</v>
      </c>
      <c r="P61" s="56">
        <f>E61+J61</f>
        <v>0</v>
      </c>
      <c r="Q61" s="54"/>
      <c r="R61" s="60"/>
      <c r="W61" s="54"/>
    </row>
    <row r="62" spans="1:23" ht="40.5" customHeight="1" hidden="1">
      <c r="A62" s="40"/>
      <c r="B62" s="40" t="s">
        <v>344</v>
      </c>
      <c r="C62" s="40"/>
      <c r="D62" s="61" t="s">
        <v>71</v>
      </c>
      <c r="E62" s="38">
        <f>192600+12030-204630</f>
        <v>0</v>
      </c>
      <c r="F62" s="38"/>
      <c r="G62" s="38">
        <f>100000-100000</f>
        <v>0</v>
      </c>
      <c r="H62" s="38"/>
      <c r="I62" s="38"/>
      <c r="J62" s="38">
        <f>K62+N62</f>
        <v>0</v>
      </c>
      <c r="K62" s="38"/>
      <c r="L62" s="38"/>
      <c r="M62" s="38"/>
      <c r="N62" s="38"/>
      <c r="O62" s="38"/>
      <c r="P62" s="56">
        <f>E62+J62</f>
        <v>0</v>
      </c>
      <c r="Q62" s="54"/>
      <c r="R62" s="60"/>
      <c r="W62" s="54"/>
    </row>
    <row r="63" spans="1:23" ht="32.25" customHeight="1">
      <c r="A63" s="40"/>
      <c r="B63" s="40" t="s">
        <v>272</v>
      </c>
      <c r="C63" s="76" t="s">
        <v>13</v>
      </c>
      <c r="D63" s="61" t="s">
        <v>383</v>
      </c>
      <c r="E63" s="38">
        <f>F63+I63</f>
        <v>457550</v>
      </c>
      <c r="F63" s="38">
        <v>457550</v>
      </c>
      <c r="G63" s="38"/>
      <c r="H63" s="38"/>
      <c r="I63" s="38"/>
      <c r="J63" s="38">
        <f>K63+N63</f>
        <v>0</v>
      </c>
      <c r="K63" s="38"/>
      <c r="L63" s="38"/>
      <c r="M63" s="38"/>
      <c r="N63" s="38"/>
      <c r="O63" s="38"/>
      <c r="P63" s="56">
        <f>E63+J63</f>
        <v>457550</v>
      </c>
      <c r="Q63" s="54"/>
      <c r="R63" s="60"/>
      <c r="W63" s="54"/>
    </row>
    <row r="64" spans="1:23" ht="88.5" customHeight="1">
      <c r="A64" s="40"/>
      <c r="B64" s="40" t="s">
        <v>357</v>
      </c>
      <c r="C64" s="76" t="s">
        <v>13</v>
      </c>
      <c r="D64" s="36" t="s">
        <v>79</v>
      </c>
      <c r="E64" s="38">
        <f>F64+I64</f>
        <v>7286783</v>
      </c>
      <c r="F64" s="38">
        <f>5276598+2010185</f>
        <v>7286783</v>
      </c>
      <c r="G64" s="38"/>
      <c r="H64" s="38"/>
      <c r="I64" s="38"/>
      <c r="J64" s="38"/>
      <c r="K64" s="38"/>
      <c r="L64" s="38"/>
      <c r="M64" s="38"/>
      <c r="N64" s="38"/>
      <c r="O64" s="38"/>
      <c r="P64" s="56">
        <f>E64+J64</f>
        <v>7286783</v>
      </c>
      <c r="Q64" s="54"/>
      <c r="R64" s="60"/>
      <c r="W64" s="54"/>
    </row>
    <row r="65" spans="1:23" ht="14.25" customHeight="1">
      <c r="A65" s="40"/>
      <c r="B65" s="40" t="s">
        <v>379</v>
      </c>
      <c r="C65" s="40"/>
      <c r="D65" s="36" t="s">
        <v>291</v>
      </c>
      <c r="E65" s="38">
        <f>SUM(E66:E71)</f>
        <v>29911688</v>
      </c>
      <c r="F65" s="38">
        <f>SUM(F66:F71)</f>
        <v>29911688</v>
      </c>
      <c r="G65" s="38">
        <f>SUM(G66:G71)</f>
        <v>15612444</v>
      </c>
      <c r="H65" s="38">
        <f>SUM(H66:H71)</f>
        <v>3198381</v>
      </c>
      <c r="I65" s="38"/>
      <c r="J65" s="38">
        <f t="shared" si="6"/>
        <v>1121240</v>
      </c>
      <c r="K65" s="38">
        <f>SUM(K66:K71)</f>
        <v>895840</v>
      </c>
      <c r="L65" s="38">
        <f>SUM(L66:L71)</f>
        <v>270972</v>
      </c>
      <c r="M65" s="38">
        <f>SUM(M66:M71)</f>
        <v>109500</v>
      </c>
      <c r="N65" s="38">
        <f>SUM(N66:N71)</f>
        <v>225400</v>
      </c>
      <c r="O65" s="38">
        <f>SUM(O66:O71)</f>
        <v>225400</v>
      </c>
      <c r="P65" s="56">
        <f aca="true" t="shared" si="10" ref="P65:P121">E65+J65</f>
        <v>31032928</v>
      </c>
      <c r="Q65" s="54"/>
      <c r="R65" s="60"/>
      <c r="W65" s="54"/>
    </row>
    <row r="66" spans="1:23" ht="25.5">
      <c r="A66" s="40"/>
      <c r="B66" s="40">
        <v>130102</v>
      </c>
      <c r="C66" s="76" t="s">
        <v>14</v>
      </c>
      <c r="D66" s="75" t="s">
        <v>279</v>
      </c>
      <c r="E66" s="38">
        <f>F66+I66</f>
        <v>199537</v>
      </c>
      <c r="F66" s="38">
        <f>179537+20000</f>
        <v>199537</v>
      </c>
      <c r="G66" s="38"/>
      <c r="H66" s="38"/>
      <c r="I66" s="38"/>
      <c r="J66" s="38">
        <f t="shared" si="6"/>
        <v>0</v>
      </c>
      <c r="K66" s="38"/>
      <c r="L66" s="38"/>
      <c r="M66" s="38"/>
      <c r="N66" s="38"/>
      <c r="O66" s="38"/>
      <c r="P66" s="56">
        <f t="shared" si="10"/>
        <v>199537</v>
      </c>
      <c r="Q66" s="54"/>
      <c r="R66" s="60"/>
      <c r="W66" s="54"/>
    </row>
    <row r="67" spans="1:23" ht="38.25">
      <c r="A67" s="76"/>
      <c r="B67" s="76" t="s">
        <v>215</v>
      </c>
      <c r="C67" s="76" t="s">
        <v>14</v>
      </c>
      <c r="D67" s="75" t="s">
        <v>216</v>
      </c>
      <c r="E67" s="38">
        <f>F67+I67</f>
        <v>70233</v>
      </c>
      <c r="F67" s="38">
        <f>60233+10000</f>
        <v>70233</v>
      </c>
      <c r="G67" s="38"/>
      <c r="H67" s="38"/>
      <c r="I67" s="38"/>
      <c r="J67" s="38"/>
      <c r="K67" s="38"/>
      <c r="L67" s="38"/>
      <c r="M67" s="38"/>
      <c r="N67" s="38"/>
      <c r="O67" s="38"/>
      <c r="P67" s="56">
        <f t="shared" si="10"/>
        <v>70233</v>
      </c>
      <c r="Q67" s="54"/>
      <c r="R67" s="60"/>
      <c r="W67" s="54"/>
    </row>
    <row r="68" spans="1:23" ht="38.25">
      <c r="A68" s="40"/>
      <c r="B68" s="40">
        <v>130107</v>
      </c>
      <c r="C68" s="76" t="s">
        <v>14</v>
      </c>
      <c r="D68" s="75" t="s">
        <v>280</v>
      </c>
      <c r="E68" s="38">
        <f>F68+I68</f>
        <v>22733392</v>
      </c>
      <c r="F68" s="38">
        <f>21778166+9826+595500+349900</f>
        <v>22733392</v>
      </c>
      <c r="G68" s="38">
        <f>13744883+386400</f>
        <v>14131283</v>
      </c>
      <c r="H68" s="38">
        <v>2515313</v>
      </c>
      <c r="I68" s="38"/>
      <c r="J68" s="38">
        <f t="shared" si="6"/>
        <v>989840</v>
      </c>
      <c r="K68" s="38">
        <v>764440</v>
      </c>
      <c r="L68" s="38">
        <v>212550</v>
      </c>
      <c r="M68" s="38">
        <v>91547</v>
      </c>
      <c r="N68" s="38">
        <f>O68</f>
        <v>225400</v>
      </c>
      <c r="O68" s="38">
        <f>21000+97400+107000</f>
        <v>225400</v>
      </c>
      <c r="P68" s="56">
        <f>E68+J68</f>
        <v>23723232</v>
      </c>
      <c r="Q68" s="54"/>
      <c r="R68" s="60"/>
      <c r="W68" s="54"/>
    </row>
    <row r="69" spans="1:23" ht="25.5">
      <c r="A69" s="40"/>
      <c r="B69" s="40">
        <v>130110</v>
      </c>
      <c r="C69" s="76" t="s">
        <v>14</v>
      </c>
      <c r="D69" s="75" t="s">
        <v>281</v>
      </c>
      <c r="E69" s="38">
        <f>F69+I69</f>
        <v>6380619</v>
      </c>
      <c r="F69" s="78">
        <f>5960451+194600+225568</f>
        <v>6380619</v>
      </c>
      <c r="G69" s="38">
        <f>1135619+61000</f>
        <v>1196619</v>
      </c>
      <c r="H69" s="38">
        <v>545758</v>
      </c>
      <c r="I69" s="38"/>
      <c r="J69" s="38">
        <f t="shared" si="6"/>
        <v>83640</v>
      </c>
      <c r="K69" s="38">
        <v>83640</v>
      </c>
      <c r="L69" s="38">
        <v>29172</v>
      </c>
      <c r="M69" s="38">
        <v>13836</v>
      </c>
      <c r="N69" s="38">
        <f>O69</f>
        <v>0</v>
      </c>
      <c r="O69" s="38"/>
      <c r="P69" s="56">
        <f t="shared" si="10"/>
        <v>6464259</v>
      </c>
      <c r="Q69" s="54"/>
      <c r="R69" s="60"/>
      <c r="W69" s="54"/>
    </row>
    <row r="70" spans="1:23" ht="12.75">
      <c r="A70" s="40"/>
      <c r="B70" s="40" t="s">
        <v>340</v>
      </c>
      <c r="C70" s="76" t="s">
        <v>14</v>
      </c>
      <c r="D70" s="61" t="s">
        <v>288</v>
      </c>
      <c r="E70" s="38">
        <f>F70+I70</f>
        <v>527907</v>
      </c>
      <c r="F70" s="38">
        <f>510468+339+17100</f>
        <v>527907</v>
      </c>
      <c r="G70" s="38">
        <f>271642+12900</f>
        <v>284542</v>
      </c>
      <c r="H70" s="38">
        <v>137310</v>
      </c>
      <c r="I70" s="38"/>
      <c r="J70" s="38">
        <f t="shared" si="6"/>
        <v>47760</v>
      </c>
      <c r="K70" s="38">
        <v>47760</v>
      </c>
      <c r="L70" s="38">
        <v>29250</v>
      </c>
      <c r="M70" s="38">
        <v>4117</v>
      </c>
      <c r="N70" s="38"/>
      <c r="O70" s="38"/>
      <c r="P70" s="56">
        <f t="shared" si="10"/>
        <v>575667</v>
      </c>
      <c r="Q70" s="54"/>
      <c r="R70" s="60"/>
      <c r="W70" s="54"/>
    </row>
    <row r="71" spans="1:23" ht="16.5" customHeight="1" hidden="1">
      <c r="A71" s="40"/>
      <c r="B71" s="40">
        <v>130113</v>
      </c>
      <c r="C71" s="40"/>
      <c r="D71" s="36" t="s">
        <v>269</v>
      </c>
      <c r="E71" s="38"/>
      <c r="F71" s="38"/>
      <c r="G71" s="38"/>
      <c r="H71" s="38"/>
      <c r="I71" s="38"/>
      <c r="J71" s="38">
        <f t="shared" si="6"/>
        <v>0</v>
      </c>
      <c r="K71" s="38"/>
      <c r="L71" s="38"/>
      <c r="M71" s="38"/>
      <c r="N71" s="38"/>
      <c r="O71" s="38"/>
      <c r="P71" s="56">
        <f t="shared" si="10"/>
        <v>0</v>
      </c>
      <c r="Q71" s="54"/>
      <c r="R71" s="60"/>
      <c r="W71" s="54"/>
    </row>
    <row r="72" spans="1:23" ht="38.25" hidden="1">
      <c r="A72" s="40"/>
      <c r="B72" s="40">
        <v>130107</v>
      </c>
      <c r="C72" s="40"/>
      <c r="D72" s="61" t="s">
        <v>280</v>
      </c>
      <c r="E72" s="38"/>
      <c r="F72" s="38"/>
      <c r="G72" s="38"/>
      <c r="H72" s="38"/>
      <c r="I72" s="38"/>
      <c r="J72" s="38">
        <f t="shared" si="6"/>
        <v>0</v>
      </c>
      <c r="K72" s="38"/>
      <c r="L72" s="38"/>
      <c r="M72" s="38"/>
      <c r="N72" s="38"/>
      <c r="O72" s="38"/>
      <c r="P72" s="56">
        <f t="shared" si="10"/>
        <v>0</v>
      </c>
      <c r="Q72" s="54"/>
      <c r="R72" s="60"/>
      <c r="W72" s="54"/>
    </row>
    <row r="73" spans="1:23" ht="12.75">
      <c r="A73" s="40"/>
      <c r="B73" s="40" t="s">
        <v>367</v>
      </c>
      <c r="C73" s="40"/>
      <c r="D73" s="61" t="s">
        <v>282</v>
      </c>
      <c r="E73" s="38">
        <f>E74+E76+E78+E79</f>
        <v>0</v>
      </c>
      <c r="F73" s="38">
        <f>F74+F76+F78+F79</f>
        <v>0</v>
      </c>
      <c r="G73" s="38">
        <f>G74+G76+G78+G79</f>
        <v>0</v>
      </c>
      <c r="H73" s="38">
        <f>H74+H76+H78+H79</f>
        <v>0</v>
      </c>
      <c r="I73" s="38">
        <f>I74+I76+I78+I79</f>
        <v>0</v>
      </c>
      <c r="J73" s="38">
        <f>K73+N73</f>
        <v>40908996</v>
      </c>
      <c r="K73" s="38">
        <f>K74+K76+K78+K79</f>
        <v>0</v>
      </c>
      <c r="L73" s="38">
        <f>L74+L76+L78+L79</f>
        <v>0</v>
      </c>
      <c r="M73" s="38">
        <f>M74+M76+M78+M79</f>
        <v>0</v>
      </c>
      <c r="N73" s="38">
        <f>N74+N76+N78+N79</f>
        <v>40908996</v>
      </c>
      <c r="O73" s="38">
        <f>O74+O76+O78+O79</f>
        <v>40908996</v>
      </c>
      <c r="P73" s="56">
        <f t="shared" si="10"/>
        <v>40908996</v>
      </c>
      <c r="Q73" s="54"/>
      <c r="R73" s="60"/>
      <c r="W73" s="54"/>
    </row>
    <row r="74" spans="1:23" s="55" customFormat="1" ht="12.75">
      <c r="A74" s="40"/>
      <c r="B74" s="40" t="s">
        <v>338</v>
      </c>
      <c r="C74" s="76" t="s">
        <v>6</v>
      </c>
      <c r="D74" s="61" t="s">
        <v>339</v>
      </c>
      <c r="E74" s="38"/>
      <c r="F74" s="38"/>
      <c r="G74" s="38"/>
      <c r="H74" s="38"/>
      <c r="I74" s="38"/>
      <c r="J74" s="38">
        <f t="shared" si="6"/>
        <v>37851827</v>
      </c>
      <c r="K74" s="38"/>
      <c r="L74" s="38"/>
      <c r="M74" s="38"/>
      <c r="N74" s="38">
        <f>O74</f>
        <v>37851827</v>
      </c>
      <c r="O74" s="38">
        <f>38831306+347347-3057169-1628085+1893000+3465428-2000000</f>
        <v>37851827</v>
      </c>
      <c r="P74" s="56">
        <f t="shared" si="10"/>
        <v>37851827</v>
      </c>
      <c r="Q74" s="54"/>
      <c r="R74" s="54"/>
      <c r="W74" s="54"/>
    </row>
    <row r="75" spans="1:23" s="55" customFormat="1" ht="45" hidden="1">
      <c r="A75" s="40"/>
      <c r="B75" s="40"/>
      <c r="C75" s="40"/>
      <c r="D75" s="93" t="s">
        <v>234</v>
      </c>
      <c r="E75" s="38"/>
      <c r="F75" s="38"/>
      <c r="G75" s="38"/>
      <c r="H75" s="38"/>
      <c r="I75" s="38"/>
      <c r="J75" s="38">
        <f t="shared" si="6"/>
        <v>0</v>
      </c>
      <c r="K75" s="38"/>
      <c r="L75" s="38"/>
      <c r="M75" s="38"/>
      <c r="N75" s="38">
        <f>O75</f>
        <v>0</v>
      </c>
      <c r="O75" s="78"/>
      <c r="P75" s="56">
        <f t="shared" si="10"/>
        <v>0</v>
      </c>
      <c r="Q75" s="54"/>
      <c r="R75" s="54"/>
      <c r="W75" s="54"/>
    </row>
    <row r="76" spans="1:23" s="58" customFormat="1" ht="12.75" hidden="1">
      <c r="A76" s="40"/>
      <c r="B76" s="40" t="s">
        <v>358</v>
      </c>
      <c r="C76" s="40"/>
      <c r="D76" s="61" t="s">
        <v>359</v>
      </c>
      <c r="E76" s="38"/>
      <c r="F76" s="38"/>
      <c r="G76" s="38"/>
      <c r="H76" s="38"/>
      <c r="I76" s="38"/>
      <c r="J76" s="38">
        <f t="shared" si="6"/>
        <v>0</v>
      </c>
      <c r="K76" s="38"/>
      <c r="L76" s="38"/>
      <c r="M76" s="38"/>
      <c r="N76" s="38"/>
      <c r="O76" s="38">
        <f>N76</f>
        <v>0</v>
      </c>
      <c r="P76" s="56">
        <f t="shared" si="10"/>
        <v>0</v>
      </c>
      <c r="Q76" s="54"/>
      <c r="R76" s="57"/>
      <c r="W76" s="54"/>
    </row>
    <row r="77" spans="1:23" ht="25.5" hidden="1">
      <c r="A77" s="40"/>
      <c r="B77" s="40"/>
      <c r="C77" s="40"/>
      <c r="D77" s="61" t="s">
        <v>382</v>
      </c>
      <c r="E77" s="38"/>
      <c r="F77" s="38"/>
      <c r="G77" s="38"/>
      <c r="H77" s="38"/>
      <c r="I77" s="38"/>
      <c r="J77" s="38">
        <f t="shared" si="6"/>
        <v>0</v>
      </c>
      <c r="K77" s="38"/>
      <c r="L77" s="38"/>
      <c r="M77" s="38"/>
      <c r="N77" s="38"/>
      <c r="O77" s="38">
        <f>N77</f>
        <v>0</v>
      </c>
      <c r="P77" s="56">
        <f t="shared" si="10"/>
        <v>0</v>
      </c>
      <c r="Q77" s="54"/>
      <c r="R77" s="60"/>
      <c r="W77" s="54"/>
    </row>
    <row r="78" spans="1:23" ht="63.75" customHeight="1">
      <c r="A78" s="40"/>
      <c r="B78" s="76" t="s">
        <v>48</v>
      </c>
      <c r="C78" s="76" t="s">
        <v>9</v>
      </c>
      <c r="D78" s="75" t="s">
        <v>51</v>
      </c>
      <c r="E78" s="38"/>
      <c r="F78" s="38"/>
      <c r="G78" s="38"/>
      <c r="H78" s="38"/>
      <c r="I78" s="38"/>
      <c r="J78" s="38">
        <f t="shared" si="6"/>
        <v>2807169</v>
      </c>
      <c r="K78" s="38"/>
      <c r="L78" s="38"/>
      <c r="M78" s="38"/>
      <c r="N78" s="38">
        <f>O78</f>
        <v>2807169</v>
      </c>
      <c r="O78" s="38">
        <f>2807169-2000000+2000000</f>
        <v>2807169</v>
      </c>
      <c r="P78" s="56">
        <f t="shared" si="10"/>
        <v>2807169</v>
      </c>
      <c r="Q78" s="54"/>
      <c r="R78" s="60"/>
      <c r="W78" s="54"/>
    </row>
    <row r="79" spans="1:23" ht="54.75" customHeight="1">
      <c r="A79" s="40"/>
      <c r="B79" s="76" t="s">
        <v>49</v>
      </c>
      <c r="C79" s="76" t="s">
        <v>11</v>
      </c>
      <c r="D79" s="75" t="s">
        <v>50</v>
      </c>
      <c r="E79" s="38"/>
      <c r="F79" s="38"/>
      <c r="G79" s="38"/>
      <c r="H79" s="38"/>
      <c r="I79" s="38"/>
      <c r="J79" s="38">
        <f t="shared" si="6"/>
        <v>250000</v>
      </c>
      <c r="K79" s="38"/>
      <c r="L79" s="38"/>
      <c r="M79" s="38"/>
      <c r="N79" s="38">
        <f>O79</f>
        <v>250000</v>
      </c>
      <c r="O79" s="38">
        <v>250000</v>
      </c>
      <c r="P79" s="56">
        <f t="shared" si="10"/>
        <v>250000</v>
      </c>
      <c r="Q79" s="54"/>
      <c r="R79" s="60"/>
      <c r="W79" s="54"/>
    </row>
    <row r="80" spans="1:23" ht="25.5">
      <c r="A80" s="76"/>
      <c r="B80" s="76" t="s">
        <v>377</v>
      </c>
      <c r="C80" s="76"/>
      <c r="D80" s="142" t="s">
        <v>378</v>
      </c>
      <c r="E80" s="38">
        <f>E81</f>
        <v>326276</v>
      </c>
      <c r="F80" s="38">
        <f>F81</f>
        <v>326276</v>
      </c>
      <c r="G80" s="38"/>
      <c r="H80" s="38"/>
      <c r="I80" s="38"/>
      <c r="J80" s="38">
        <f t="shared" si="6"/>
        <v>0</v>
      </c>
      <c r="K80" s="38"/>
      <c r="L80" s="38"/>
      <c r="M80" s="38"/>
      <c r="N80" s="38"/>
      <c r="O80" s="38"/>
      <c r="P80" s="56">
        <f t="shared" si="10"/>
        <v>326276</v>
      </c>
      <c r="Q80" s="54"/>
      <c r="R80" s="60"/>
      <c r="W80" s="54"/>
    </row>
    <row r="81" spans="1:23" ht="25.5">
      <c r="A81" s="76"/>
      <c r="B81" s="76" t="s">
        <v>302</v>
      </c>
      <c r="C81" s="76" t="s">
        <v>15</v>
      </c>
      <c r="D81" s="143" t="s">
        <v>303</v>
      </c>
      <c r="E81" s="38">
        <f>F81+I81</f>
        <v>326276</v>
      </c>
      <c r="F81" s="38">
        <v>326276</v>
      </c>
      <c r="G81" s="38"/>
      <c r="H81" s="38"/>
      <c r="I81" s="38"/>
      <c r="J81" s="38">
        <f t="shared" si="6"/>
        <v>0</v>
      </c>
      <c r="K81" s="38"/>
      <c r="L81" s="38"/>
      <c r="M81" s="38"/>
      <c r="N81" s="38"/>
      <c r="O81" s="38"/>
      <c r="P81" s="56">
        <f t="shared" si="10"/>
        <v>326276</v>
      </c>
      <c r="Q81" s="54"/>
      <c r="R81" s="60"/>
      <c r="W81" s="54"/>
    </row>
    <row r="82" spans="1:23" ht="25.5">
      <c r="A82" s="76"/>
      <c r="B82" s="76" t="s">
        <v>408</v>
      </c>
      <c r="C82" s="76"/>
      <c r="D82" s="142" t="s">
        <v>430</v>
      </c>
      <c r="E82" s="38">
        <f>E83</f>
        <v>24500</v>
      </c>
      <c r="F82" s="38">
        <f>F83</f>
        <v>24500</v>
      </c>
      <c r="G82" s="38"/>
      <c r="H82" s="38"/>
      <c r="I82" s="38">
        <f>I83</f>
        <v>0</v>
      </c>
      <c r="J82" s="38">
        <f t="shared" si="6"/>
        <v>6000</v>
      </c>
      <c r="K82" s="38"/>
      <c r="L82" s="38"/>
      <c r="M82" s="38"/>
      <c r="N82" s="38">
        <f>O82</f>
        <v>6000</v>
      </c>
      <c r="O82" s="38">
        <f>O83</f>
        <v>6000</v>
      </c>
      <c r="P82" s="56">
        <f t="shared" si="10"/>
        <v>30500</v>
      </c>
      <c r="Q82" s="54"/>
      <c r="R82" s="60"/>
      <c r="W82" s="54"/>
    </row>
    <row r="83" spans="1:23" ht="12.75">
      <c r="A83" s="76"/>
      <c r="B83" s="76" t="s">
        <v>428</v>
      </c>
      <c r="C83" s="76" t="s">
        <v>16</v>
      </c>
      <c r="D83" s="142" t="s">
        <v>429</v>
      </c>
      <c r="E83" s="38">
        <f>F83+I83</f>
        <v>24500</v>
      </c>
      <c r="F83" s="38">
        <f>24500</f>
        <v>24500</v>
      </c>
      <c r="G83" s="38"/>
      <c r="H83" s="38"/>
      <c r="I83" s="38"/>
      <c r="J83" s="38">
        <f t="shared" si="6"/>
        <v>6000</v>
      </c>
      <c r="K83" s="38"/>
      <c r="L83" s="38"/>
      <c r="M83" s="38"/>
      <c r="N83" s="38">
        <f>O83</f>
        <v>6000</v>
      </c>
      <c r="O83" s="38">
        <f>6000</f>
        <v>6000</v>
      </c>
      <c r="P83" s="56">
        <f t="shared" si="10"/>
        <v>30500</v>
      </c>
      <c r="Q83" s="54"/>
      <c r="R83" s="60"/>
      <c r="W83" s="54"/>
    </row>
    <row r="84" spans="1:23" s="160" customFormat="1" ht="12.75">
      <c r="A84" s="157"/>
      <c r="B84" s="40" t="s">
        <v>370</v>
      </c>
      <c r="C84" s="40"/>
      <c r="D84" s="61" t="s">
        <v>374</v>
      </c>
      <c r="E84" s="38">
        <f>F84</f>
        <v>0</v>
      </c>
      <c r="F84" s="38">
        <f>F85</f>
        <v>0</v>
      </c>
      <c r="G84" s="38"/>
      <c r="H84" s="38"/>
      <c r="I84" s="38"/>
      <c r="J84" s="38">
        <f>K84+N84</f>
        <v>638000</v>
      </c>
      <c r="K84" s="38">
        <f>K85+K86</f>
        <v>98000</v>
      </c>
      <c r="L84" s="38">
        <f>L85</f>
        <v>0</v>
      </c>
      <c r="M84" s="38">
        <f>M85</f>
        <v>0</v>
      </c>
      <c r="N84" s="38">
        <f>N85+N86</f>
        <v>540000</v>
      </c>
      <c r="O84" s="38">
        <f>O85+O86</f>
        <v>0</v>
      </c>
      <c r="P84" s="56">
        <f t="shared" si="10"/>
        <v>638000</v>
      </c>
      <c r="Q84" s="158"/>
      <c r="R84" s="159"/>
      <c r="W84" s="158"/>
    </row>
    <row r="85" spans="1:23" s="162" customFormat="1" ht="25.5">
      <c r="A85" s="157"/>
      <c r="B85" s="40" t="s">
        <v>337</v>
      </c>
      <c r="C85" s="40" t="s">
        <v>17</v>
      </c>
      <c r="D85" s="61" t="s">
        <v>352</v>
      </c>
      <c r="E85" s="38">
        <f>F85</f>
        <v>0</v>
      </c>
      <c r="F85" s="38"/>
      <c r="G85" s="38"/>
      <c r="H85" s="38"/>
      <c r="I85" s="38"/>
      <c r="J85" s="38">
        <f t="shared" si="6"/>
        <v>638000</v>
      </c>
      <c r="K85" s="38">
        <v>98000</v>
      </c>
      <c r="L85" s="38"/>
      <c r="M85" s="38"/>
      <c r="N85" s="38">
        <v>540000</v>
      </c>
      <c r="O85" s="38"/>
      <c r="P85" s="56">
        <f t="shared" si="10"/>
        <v>638000</v>
      </c>
      <c r="Q85" s="158"/>
      <c r="R85" s="161"/>
      <c r="W85" s="158"/>
    </row>
    <row r="86" spans="1:23" ht="25.5" hidden="1">
      <c r="A86" s="109"/>
      <c r="B86" s="109" t="s">
        <v>286</v>
      </c>
      <c r="C86" s="109"/>
      <c r="D86" s="110" t="s">
        <v>333</v>
      </c>
      <c r="E86" s="78"/>
      <c r="F86" s="78"/>
      <c r="G86" s="78"/>
      <c r="H86" s="78"/>
      <c r="I86" s="78"/>
      <c r="J86" s="38">
        <f t="shared" si="6"/>
        <v>0</v>
      </c>
      <c r="K86" s="78">
        <f>262546-262546</f>
        <v>0</v>
      </c>
      <c r="L86" s="78"/>
      <c r="M86" s="78"/>
      <c r="N86" s="78">
        <f>98000-98000</f>
        <v>0</v>
      </c>
      <c r="O86" s="78"/>
      <c r="P86" s="56">
        <f t="shared" si="10"/>
        <v>0</v>
      </c>
      <c r="Q86" s="54"/>
      <c r="R86" s="60"/>
      <c r="W86" s="54"/>
    </row>
    <row r="87" spans="1:23" ht="25.5">
      <c r="A87" s="109"/>
      <c r="B87" s="109" t="s">
        <v>372</v>
      </c>
      <c r="C87" s="109"/>
      <c r="D87" s="110" t="s">
        <v>230</v>
      </c>
      <c r="E87" s="78">
        <f>E88</f>
        <v>100000</v>
      </c>
      <c r="F87" s="78">
        <f>F88</f>
        <v>100000</v>
      </c>
      <c r="G87" s="78"/>
      <c r="H87" s="78"/>
      <c r="I87" s="78"/>
      <c r="J87" s="38"/>
      <c r="K87" s="78"/>
      <c r="L87" s="78"/>
      <c r="M87" s="78"/>
      <c r="N87" s="78"/>
      <c r="O87" s="78"/>
      <c r="P87" s="56">
        <f t="shared" si="10"/>
        <v>100000</v>
      </c>
      <c r="Q87" s="54"/>
      <c r="R87" s="60"/>
      <c r="W87" s="54"/>
    </row>
    <row r="88" spans="1:23" ht="72" customHeight="1">
      <c r="A88" s="109"/>
      <c r="B88" s="109" t="s">
        <v>60</v>
      </c>
      <c r="C88" s="76" t="s">
        <v>18</v>
      </c>
      <c r="D88" s="110" t="s">
        <v>61</v>
      </c>
      <c r="E88" s="78">
        <f>F88</f>
        <v>100000</v>
      </c>
      <c r="F88" s="78">
        <v>100000</v>
      </c>
      <c r="G88" s="78"/>
      <c r="H88" s="78"/>
      <c r="I88" s="78"/>
      <c r="J88" s="38">
        <f t="shared" si="6"/>
        <v>0</v>
      </c>
      <c r="K88" s="78"/>
      <c r="L88" s="78"/>
      <c r="M88" s="78"/>
      <c r="N88" s="78"/>
      <c r="O88" s="78"/>
      <c r="P88" s="56">
        <f t="shared" si="10"/>
        <v>100000</v>
      </c>
      <c r="Q88" s="54"/>
      <c r="R88" s="60"/>
      <c r="W88" s="54"/>
    </row>
    <row r="89" spans="1:23" ht="25.5">
      <c r="A89" s="100"/>
      <c r="B89" s="100" t="s">
        <v>163</v>
      </c>
      <c r="C89" s="100"/>
      <c r="D89" s="101" t="s">
        <v>125</v>
      </c>
      <c r="E89" s="52">
        <f>E90+E92+E111+E116</f>
        <v>621185387</v>
      </c>
      <c r="F89" s="52">
        <f>F90+F92+F111+F116</f>
        <v>621185387</v>
      </c>
      <c r="G89" s="52">
        <f>G90+G92+G111+G116</f>
        <v>339274180</v>
      </c>
      <c r="H89" s="52">
        <f>H90+H92+H111+H116</f>
        <v>76807494</v>
      </c>
      <c r="I89" s="52"/>
      <c r="J89" s="52">
        <f>J91+J92+J117+J112+J114</f>
        <v>84333534</v>
      </c>
      <c r="K89" s="52">
        <f>K90+K92+K111+K116</f>
        <v>20950241</v>
      </c>
      <c r="L89" s="52">
        <f>L90+L92+L111+L116</f>
        <v>7836839</v>
      </c>
      <c r="M89" s="52">
        <f>M90+M92+M111+M116</f>
        <v>2441399</v>
      </c>
      <c r="N89" s="52">
        <f>N90+N92+N111+N116</f>
        <v>63383293</v>
      </c>
      <c r="O89" s="52">
        <f>O90+O92+O111+O116</f>
        <v>62666113</v>
      </c>
      <c r="P89" s="53">
        <f t="shared" si="10"/>
        <v>705518921</v>
      </c>
      <c r="Q89" s="54"/>
      <c r="R89" s="60"/>
      <c r="W89" s="54"/>
    </row>
    <row r="90" spans="1:23" ht="12.75">
      <c r="A90" s="43"/>
      <c r="B90" s="43" t="s">
        <v>363</v>
      </c>
      <c r="C90" s="43"/>
      <c r="D90" s="44" t="s">
        <v>364</v>
      </c>
      <c r="E90" s="37">
        <f>E91</f>
        <v>1520930</v>
      </c>
      <c r="F90" s="37">
        <f>F91</f>
        <v>1520930</v>
      </c>
      <c r="G90" s="37">
        <f>G91</f>
        <v>831443</v>
      </c>
      <c r="H90" s="37">
        <f>H91</f>
        <v>132114</v>
      </c>
      <c r="I90" s="37"/>
      <c r="J90" s="38">
        <f aca="true" t="shared" si="11" ref="J90:O90">J91</f>
        <v>106365</v>
      </c>
      <c r="K90" s="38">
        <f t="shared" si="11"/>
        <v>0</v>
      </c>
      <c r="L90" s="38">
        <f t="shared" si="11"/>
        <v>0</v>
      </c>
      <c r="M90" s="38">
        <f t="shared" si="11"/>
        <v>0</v>
      </c>
      <c r="N90" s="38">
        <f t="shared" si="11"/>
        <v>106365</v>
      </c>
      <c r="O90" s="38">
        <f t="shared" si="11"/>
        <v>106365</v>
      </c>
      <c r="P90" s="56">
        <f t="shared" si="10"/>
        <v>1627295</v>
      </c>
      <c r="Q90" s="54"/>
      <c r="R90" s="60"/>
      <c r="W90" s="54"/>
    </row>
    <row r="91" spans="1:23" ht="12.75">
      <c r="A91" s="40"/>
      <c r="B91" s="40" t="s">
        <v>248</v>
      </c>
      <c r="C91" s="76" t="s">
        <v>4</v>
      </c>
      <c r="D91" s="59" t="s">
        <v>249</v>
      </c>
      <c r="E91" s="38">
        <f>F91</f>
        <v>1520930</v>
      </c>
      <c r="F91" s="38">
        <f>1360752+1174+144000+15004</f>
        <v>1520930</v>
      </c>
      <c r="G91" s="38">
        <f>820435+11008</f>
        <v>831443</v>
      </c>
      <c r="H91" s="38">
        <v>132114</v>
      </c>
      <c r="I91" s="38"/>
      <c r="J91" s="38">
        <f aca="true" t="shared" si="12" ref="J91:J117">K91+N91</f>
        <v>106365</v>
      </c>
      <c r="K91" s="38"/>
      <c r="L91" s="38"/>
      <c r="M91" s="38"/>
      <c r="N91" s="38">
        <f>O91</f>
        <v>106365</v>
      </c>
      <c r="O91" s="38">
        <f>78056+28309</f>
        <v>106365</v>
      </c>
      <c r="P91" s="56">
        <f t="shared" si="10"/>
        <v>1627295</v>
      </c>
      <c r="Q91" s="54"/>
      <c r="R91" s="60"/>
      <c r="W91" s="54"/>
    </row>
    <row r="92" spans="1:23" ht="12.75">
      <c r="A92" s="43"/>
      <c r="B92" s="43" t="s">
        <v>258</v>
      </c>
      <c r="C92" s="43"/>
      <c r="D92" s="66" t="s">
        <v>259</v>
      </c>
      <c r="E92" s="38">
        <f>SUM(E93:E110)-E95-E97-E100-E102-E104-E106</f>
        <v>619664457</v>
      </c>
      <c r="F92" s="38">
        <f>SUM(F93:F110)-F95-F97-F100-F102-F104-F106</f>
        <v>619664457</v>
      </c>
      <c r="G92" s="38">
        <f>SUM(G93:G110)-G95-G97-G100-G102-G104-G106</f>
        <v>338442737</v>
      </c>
      <c r="H92" s="38">
        <f>SUM(H93:H110)-H95-H97-H100-H102-H104-H106</f>
        <v>76675380</v>
      </c>
      <c r="I92" s="38"/>
      <c r="J92" s="38">
        <f t="shared" si="12"/>
        <v>67341723</v>
      </c>
      <c r="K92" s="38">
        <f>K93+K96+K98+K101+K103+K107+K108+K109+K110+K105</f>
        <v>20950241</v>
      </c>
      <c r="L92" s="38">
        <f>L93+L96+L98+L101+L103+L107+L108+L109+L110+L105</f>
        <v>7836839</v>
      </c>
      <c r="M92" s="38">
        <f>M93+M96+M98+M101+M103+M107+M108+M109+M110+M105</f>
        <v>2441399</v>
      </c>
      <c r="N92" s="38">
        <f>N93+N96+N98+N101+N103+N107+N108+N109+N110+N105</f>
        <v>46391482</v>
      </c>
      <c r="O92" s="38">
        <f>O93+O96+O98+O101+O103+O107+O108+O109+O110+O105</f>
        <v>45674302</v>
      </c>
      <c r="P92" s="56">
        <f t="shared" si="10"/>
        <v>687006180</v>
      </c>
      <c r="Q92" s="54"/>
      <c r="R92" s="60"/>
      <c r="W92" s="54"/>
    </row>
    <row r="93" spans="1:23" ht="12.75">
      <c r="A93" s="40"/>
      <c r="B93" s="40" t="s">
        <v>260</v>
      </c>
      <c r="C93" s="76" t="s">
        <v>19</v>
      </c>
      <c r="D93" s="36" t="s">
        <v>261</v>
      </c>
      <c r="E93" s="38">
        <f>F93+I93</f>
        <v>405990825</v>
      </c>
      <c r="F93" s="38">
        <f>15000+390693221+1000000+95000+50000+9640357+(600000)+3458800+8669-(100000)+500000+10667+50000-(13889)-(17000)</f>
        <v>405990825</v>
      </c>
      <c r="G93" s="38">
        <f>225858882+5701947</f>
        <v>231560829</v>
      </c>
      <c r="H93" s="38">
        <v>55050365</v>
      </c>
      <c r="I93" s="38"/>
      <c r="J93" s="38">
        <f>K93+N93</f>
        <v>47501382</v>
      </c>
      <c r="K93" s="38">
        <v>9901906</v>
      </c>
      <c r="L93" s="38">
        <v>2436144</v>
      </c>
      <c r="M93" s="38">
        <v>1618860</v>
      </c>
      <c r="N93" s="128">
        <f>O93+391285</f>
        <v>37599476</v>
      </c>
      <c r="O93" s="38">
        <f>14855286+(605000)+3049508+15913750-668253+(100000)-567888-1+(110000)+160351+1245773+(300000)-138210-28309+2271184</f>
        <v>37208191</v>
      </c>
      <c r="P93" s="56">
        <f t="shared" si="10"/>
        <v>453492207</v>
      </c>
      <c r="Q93" s="54">
        <f>24800+69391</f>
        <v>94191</v>
      </c>
      <c r="R93" s="60">
        <v>99702</v>
      </c>
      <c r="S93" s="60">
        <f>R93-Q93</f>
        <v>5511</v>
      </c>
      <c r="W93" s="54"/>
    </row>
    <row r="94" spans="1:23" ht="42" customHeight="1" hidden="1">
      <c r="A94" s="40"/>
      <c r="B94" s="40"/>
      <c r="C94" s="40"/>
      <c r="D94" s="96" t="s">
        <v>109</v>
      </c>
      <c r="E94" s="38">
        <f aca="true" t="shared" si="13" ref="E94:E110">F94+I94</f>
        <v>0</v>
      </c>
      <c r="F94" s="38"/>
      <c r="G94" s="38"/>
      <c r="H94" s="38"/>
      <c r="I94" s="38"/>
      <c r="J94" s="38">
        <f t="shared" si="12"/>
        <v>0</v>
      </c>
      <c r="K94" s="38"/>
      <c r="L94" s="38"/>
      <c r="M94" s="38"/>
      <c r="N94" s="38">
        <f>O94</f>
        <v>0</v>
      </c>
      <c r="O94" s="38"/>
      <c r="P94" s="56">
        <f t="shared" si="10"/>
        <v>0</v>
      </c>
      <c r="Q94" s="54"/>
      <c r="R94" s="60"/>
      <c r="W94" s="54"/>
    </row>
    <row r="95" spans="1:23" ht="12.75">
      <c r="A95" s="40"/>
      <c r="B95" s="40"/>
      <c r="C95" s="40"/>
      <c r="D95" s="96" t="s">
        <v>427</v>
      </c>
      <c r="E95" s="38">
        <f>F95</f>
        <v>355277756</v>
      </c>
      <c r="F95" s="38">
        <f>347155440+8122316</f>
        <v>355277756</v>
      </c>
      <c r="G95" s="38">
        <f>225386128-18041000</f>
        <v>207345128</v>
      </c>
      <c r="H95" s="38">
        <f>41514770+13535595</f>
        <v>55050365</v>
      </c>
      <c r="I95" s="38"/>
      <c r="J95" s="38"/>
      <c r="K95" s="38"/>
      <c r="L95" s="38"/>
      <c r="M95" s="38"/>
      <c r="N95" s="38"/>
      <c r="O95" s="38"/>
      <c r="P95" s="56">
        <f t="shared" si="10"/>
        <v>355277756</v>
      </c>
      <c r="Q95" s="54"/>
      <c r="R95" s="60"/>
      <c r="W95" s="54"/>
    </row>
    <row r="96" spans="1:23" ht="21.75" customHeight="1">
      <c r="A96" s="40"/>
      <c r="B96" s="40" t="s">
        <v>297</v>
      </c>
      <c r="C96" s="76" t="s">
        <v>20</v>
      </c>
      <c r="D96" s="70" t="s">
        <v>207</v>
      </c>
      <c r="E96" s="38">
        <f t="shared" si="13"/>
        <v>54549923</v>
      </c>
      <c r="F96" s="38">
        <f>53416269+1085654+(100000)-(52000)</f>
        <v>54549923</v>
      </c>
      <c r="G96" s="38">
        <f>29991637+758570</f>
        <v>30750207</v>
      </c>
      <c r="H96" s="38">
        <v>10058286</v>
      </c>
      <c r="I96" s="38"/>
      <c r="J96" s="38">
        <f t="shared" si="12"/>
        <v>2945731</v>
      </c>
      <c r="K96" s="38">
        <v>184482</v>
      </c>
      <c r="L96" s="38"/>
      <c r="M96" s="38"/>
      <c r="N96" s="38">
        <f>O96</f>
        <v>2761249</v>
      </c>
      <c r="O96" s="38">
        <f>559152+1653658+(200000)-4605+212265+(59000)+1779-(50000)+(130000)</f>
        <v>2761249</v>
      </c>
      <c r="P96" s="56">
        <f t="shared" si="10"/>
        <v>57495654</v>
      </c>
      <c r="Q96" s="54"/>
      <c r="R96" s="60"/>
      <c r="W96" s="54"/>
    </row>
    <row r="97" spans="1:23" ht="12.75">
      <c r="A97" s="40"/>
      <c r="B97" s="40"/>
      <c r="C97" s="40"/>
      <c r="D97" s="96" t="s">
        <v>427</v>
      </c>
      <c r="E97" s="38">
        <f>F97</f>
        <v>47584318</v>
      </c>
      <c r="F97" s="38">
        <f>50841918-3257600</f>
        <v>47584318</v>
      </c>
      <c r="G97" s="38">
        <f>29991637-2395600</f>
        <v>27596037</v>
      </c>
      <c r="H97" s="38">
        <v>10058286</v>
      </c>
      <c r="I97" s="38"/>
      <c r="J97" s="38"/>
      <c r="K97" s="38"/>
      <c r="L97" s="38"/>
      <c r="M97" s="38"/>
      <c r="N97" s="38"/>
      <c r="O97" s="38"/>
      <c r="P97" s="56">
        <f t="shared" si="10"/>
        <v>47584318</v>
      </c>
      <c r="Q97" s="54"/>
      <c r="R97" s="60"/>
      <c r="W97" s="54"/>
    </row>
    <row r="98" spans="1:23" ht="51">
      <c r="A98" s="40"/>
      <c r="B98" s="40" t="s">
        <v>262</v>
      </c>
      <c r="C98" s="76" t="s">
        <v>21</v>
      </c>
      <c r="D98" s="36" t="s">
        <v>348</v>
      </c>
      <c r="E98" s="38">
        <f t="shared" si="13"/>
        <v>4549940</v>
      </c>
      <c r="F98" s="38">
        <f>4138509+411531-87164+87064</f>
        <v>4549940</v>
      </c>
      <c r="G98" s="38">
        <f>2697678+100954</f>
        <v>2798632</v>
      </c>
      <c r="H98" s="38">
        <v>237115</v>
      </c>
      <c r="I98" s="38"/>
      <c r="J98" s="38">
        <f t="shared" si="12"/>
        <v>4400</v>
      </c>
      <c r="K98" s="38"/>
      <c r="L98" s="38"/>
      <c r="M98" s="38"/>
      <c r="N98" s="38">
        <f>O98</f>
        <v>4400</v>
      </c>
      <c r="O98" s="38">
        <v>4400</v>
      </c>
      <c r="P98" s="56">
        <f t="shared" si="10"/>
        <v>4554340</v>
      </c>
      <c r="Q98" s="54"/>
      <c r="R98" s="60">
        <v>-66951</v>
      </c>
      <c r="W98" s="54"/>
    </row>
    <row r="99" spans="1:23" ht="65.25" customHeight="1" hidden="1">
      <c r="A99" s="40"/>
      <c r="B99" s="40"/>
      <c r="C99" s="40"/>
      <c r="D99" s="77" t="s">
        <v>109</v>
      </c>
      <c r="E99" s="38">
        <f t="shared" si="13"/>
        <v>0</v>
      </c>
      <c r="F99" s="38"/>
      <c r="G99" s="38"/>
      <c r="H99" s="38"/>
      <c r="I99" s="38"/>
      <c r="J99" s="38">
        <f t="shared" si="12"/>
        <v>0</v>
      </c>
      <c r="K99" s="38"/>
      <c r="L99" s="38"/>
      <c r="M99" s="38"/>
      <c r="N99" s="38"/>
      <c r="O99" s="38"/>
      <c r="P99" s="56">
        <f t="shared" si="10"/>
        <v>0</v>
      </c>
      <c r="Q99" s="54"/>
      <c r="R99" s="60"/>
      <c r="W99" s="54"/>
    </row>
    <row r="100" spans="1:23" ht="12.75">
      <c r="A100" s="40"/>
      <c r="B100" s="40"/>
      <c r="C100" s="40"/>
      <c r="D100" s="96" t="s">
        <v>427</v>
      </c>
      <c r="E100" s="38">
        <f>F100</f>
        <v>3608193</v>
      </c>
      <c r="F100" s="38">
        <f>3900893-292700</f>
        <v>3608193</v>
      </c>
      <c r="G100" s="38">
        <f>2697678-215500</f>
        <v>2482178</v>
      </c>
      <c r="H100" s="38">
        <v>237115</v>
      </c>
      <c r="I100" s="38"/>
      <c r="J100" s="38"/>
      <c r="K100" s="38"/>
      <c r="L100" s="38"/>
      <c r="M100" s="38"/>
      <c r="N100" s="38"/>
      <c r="O100" s="38"/>
      <c r="P100" s="56">
        <f t="shared" si="10"/>
        <v>3608193</v>
      </c>
      <c r="Q100" s="54"/>
      <c r="R100" s="60"/>
      <c r="W100" s="54"/>
    </row>
    <row r="101" spans="1:23" ht="25.5">
      <c r="A101" s="40"/>
      <c r="B101" s="40" t="s">
        <v>263</v>
      </c>
      <c r="C101" s="76" t="s">
        <v>22</v>
      </c>
      <c r="D101" s="44" t="s">
        <v>264</v>
      </c>
      <c r="E101" s="38">
        <f t="shared" si="13"/>
        <v>21712901</v>
      </c>
      <c r="F101" s="38">
        <f>20909543+803358</f>
        <v>21712901</v>
      </c>
      <c r="G101" s="38">
        <f>11888604+533894</f>
        <v>12422498</v>
      </c>
      <c r="H101" s="38">
        <v>1851494</v>
      </c>
      <c r="I101" s="38"/>
      <c r="J101" s="38">
        <f t="shared" si="12"/>
        <v>9319388</v>
      </c>
      <c r="K101" s="38">
        <v>8760483</v>
      </c>
      <c r="L101" s="38">
        <v>4834684</v>
      </c>
      <c r="M101" s="38">
        <v>744075</v>
      </c>
      <c r="N101" s="38">
        <f>O101+325895</f>
        <v>558905</v>
      </c>
      <c r="O101" s="38">
        <f>23400+(45000)+(10000)+66110+88500</f>
        <v>233010</v>
      </c>
      <c r="P101" s="56">
        <f t="shared" si="10"/>
        <v>31032289</v>
      </c>
      <c r="Q101" s="54"/>
      <c r="R101" s="60"/>
      <c r="W101" s="54"/>
    </row>
    <row r="102" spans="1:23" ht="12.75">
      <c r="A102" s="40"/>
      <c r="B102" s="40"/>
      <c r="C102" s="40"/>
      <c r="D102" s="96" t="s">
        <v>427</v>
      </c>
      <c r="E102" s="38">
        <f>F102</f>
        <v>16711708</v>
      </c>
      <c r="F102" s="38">
        <f>18001708-1290000</f>
        <v>16711708</v>
      </c>
      <c r="G102" s="38">
        <f>11888604-949600</f>
        <v>10939004</v>
      </c>
      <c r="H102" s="38">
        <v>1851494</v>
      </c>
      <c r="I102" s="38"/>
      <c r="J102" s="38"/>
      <c r="K102" s="38"/>
      <c r="L102" s="38"/>
      <c r="M102" s="38"/>
      <c r="N102" s="38"/>
      <c r="O102" s="38"/>
      <c r="P102" s="56">
        <f t="shared" si="10"/>
        <v>16711708</v>
      </c>
      <c r="Q102" s="54"/>
      <c r="R102" s="60"/>
      <c r="W102" s="54"/>
    </row>
    <row r="103" spans="1:23" ht="25.5">
      <c r="A103" s="40"/>
      <c r="B103" s="40" t="s">
        <v>265</v>
      </c>
      <c r="C103" s="76" t="s">
        <v>23</v>
      </c>
      <c r="D103" s="36" t="s">
        <v>321</v>
      </c>
      <c r="E103" s="38">
        <f t="shared" si="13"/>
        <v>358391</v>
      </c>
      <c r="F103" s="38">
        <f>346751+11640</f>
        <v>358391</v>
      </c>
      <c r="G103" s="38">
        <f>230718+8540</f>
        <v>239258</v>
      </c>
      <c r="H103" s="38">
        <v>27816</v>
      </c>
      <c r="I103" s="38"/>
      <c r="J103" s="38">
        <f t="shared" si="12"/>
        <v>0</v>
      </c>
      <c r="K103" s="38"/>
      <c r="L103" s="38"/>
      <c r="M103" s="38"/>
      <c r="N103" s="38"/>
      <c r="O103" s="38"/>
      <c r="P103" s="56">
        <f t="shared" si="10"/>
        <v>358391</v>
      </c>
      <c r="Q103" s="54"/>
      <c r="R103" s="60"/>
      <c r="W103" s="54"/>
    </row>
    <row r="104" spans="1:23" ht="12.75">
      <c r="A104" s="40"/>
      <c r="B104" s="40"/>
      <c r="C104" s="40"/>
      <c r="D104" s="96" t="s">
        <v>427</v>
      </c>
      <c r="E104" s="38">
        <f>F104</f>
        <v>317185</v>
      </c>
      <c r="F104" s="38">
        <f>342285-25100</f>
        <v>317185</v>
      </c>
      <c r="G104" s="38">
        <f>230718-18400</f>
        <v>212318</v>
      </c>
      <c r="H104" s="38">
        <v>27816</v>
      </c>
      <c r="I104" s="38"/>
      <c r="J104" s="38"/>
      <c r="K104" s="38"/>
      <c r="L104" s="38"/>
      <c r="M104" s="38"/>
      <c r="N104" s="38"/>
      <c r="O104" s="38"/>
      <c r="P104" s="56">
        <f t="shared" si="10"/>
        <v>317185</v>
      </c>
      <c r="Q104" s="54"/>
      <c r="R104" s="60"/>
      <c r="W104" s="54"/>
    </row>
    <row r="105" spans="1:23" ht="25.5">
      <c r="A105" s="76"/>
      <c r="B105" s="76" t="s">
        <v>223</v>
      </c>
      <c r="C105" s="76" t="s">
        <v>24</v>
      </c>
      <c r="D105" s="36" t="s">
        <v>224</v>
      </c>
      <c r="E105" s="38">
        <f t="shared" si="13"/>
        <v>103712410</v>
      </c>
      <c r="F105" s="38">
        <f>4581+95728691-95000+1500000-50000+5319874+(200000)-8669+938997-(49000)-137064+360000</f>
        <v>103712410</v>
      </c>
      <c r="G105" s="38">
        <f>57339327+1583721+594848</f>
        <v>59517896</v>
      </c>
      <c r="H105" s="38">
        <v>9345168</v>
      </c>
      <c r="I105" s="38"/>
      <c r="J105" s="38">
        <f t="shared" si="12"/>
        <v>7570822</v>
      </c>
      <c r="K105" s="38">
        <v>2103370</v>
      </c>
      <c r="L105" s="38">
        <v>566011</v>
      </c>
      <c r="M105" s="38">
        <v>78464</v>
      </c>
      <c r="N105" s="38">
        <f>O105</f>
        <v>5467452</v>
      </c>
      <c r="O105" s="38">
        <f>1313208+2149900+(300000)-4036-(60000)+1768380</f>
        <v>5467452</v>
      </c>
      <c r="P105" s="56">
        <f t="shared" si="10"/>
        <v>111283232</v>
      </c>
      <c r="Q105" s="54"/>
      <c r="R105" s="60">
        <v>39940</v>
      </c>
      <c r="W105" s="54"/>
    </row>
    <row r="106" spans="1:23" ht="12.75">
      <c r="A106" s="76"/>
      <c r="B106" s="76"/>
      <c r="C106" s="76"/>
      <c r="D106" s="96" t="s">
        <v>427</v>
      </c>
      <c r="E106" s="38">
        <f>F106</f>
        <v>83653340</v>
      </c>
      <c r="F106" s="38">
        <f>86910256-3256916</f>
        <v>83653340</v>
      </c>
      <c r="G106" s="38">
        <f>57339327-4580100</f>
        <v>52759227</v>
      </c>
      <c r="H106" s="38">
        <v>9345168</v>
      </c>
      <c r="I106" s="38"/>
      <c r="J106" s="38"/>
      <c r="K106" s="38"/>
      <c r="L106" s="38"/>
      <c r="M106" s="38"/>
      <c r="N106" s="38"/>
      <c r="O106" s="38"/>
      <c r="P106" s="56">
        <f t="shared" si="10"/>
        <v>83653340</v>
      </c>
      <c r="Q106" s="54"/>
      <c r="R106" s="60"/>
      <c r="W106" s="54"/>
    </row>
    <row r="107" spans="1:23" ht="12.75">
      <c r="A107" s="40"/>
      <c r="B107" s="40" t="s">
        <v>266</v>
      </c>
      <c r="C107" s="76" t="s">
        <v>25</v>
      </c>
      <c r="D107" s="70" t="s">
        <v>349</v>
      </c>
      <c r="E107" s="38">
        <f t="shared" si="13"/>
        <v>24106902</v>
      </c>
      <c r="F107" s="38">
        <f>24093710+13192</f>
        <v>24106902</v>
      </c>
      <c r="G107" s="38">
        <f>507882+9693</f>
        <v>517575</v>
      </c>
      <c r="H107" s="38">
        <v>29289</v>
      </c>
      <c r="I107" s="38"/>
      <c r="J107" s="38">
        <f t="shared" si="12"/>
        <v>0</v>
      </c>
      <c r="K107" s="38"/>
      <c r="L107" s="38"/>
      <c r="M107" s="38"/>
      <c r="N107" s="38">
        <f>O107</f>
        <v>0</v>
      </c>
      <c r="O107" s="38"/>
      <c r="P107" s="56">
        <f t="shared" si="10"/>
        <v>24106902</v>
      </c>
      <c r="Q107" s="144">
        <f>800000+1335647</f>
        <v>2135647</v>
      </c>
      <c r="R107" s="60">
        <v>2135647</v>
      </c>
      <c r="W107" s="54"/>
    </row>
    <row r="108" spans="1:23" ht="73.5" customHeight="1">
      <c r="A108" s="40"/>
      <c r="B108" s="40" t="s">
        <v>267</v>
      </c>
      <c r="C108" s="76" t="s">
        <v>25</v>
      </c>
      <c r="D108" s="70" t="s">
        <v>210</v>
      </c>
      <c r="E108" s="38">
        <f t="shared" si="13"/>
        <v>1124997</v>
      </c>
      <c r="F108" s="38">
        <f>1061388+24259+39350</f>
        <v>1124997</v>
      </c>
      <c r="G108" s="38">
        <f>589882+17798+28162</f>
        <v>635842</v>
      </c>
      <c r="H108" s="38">
        <v>75847</v>
      </c>
      <c r="I108" s="38"/>
      <c r="J108" s="38">
        <f t="shared" si="12"/>
        <v>0</v>
      </c>
      <c r="K108" s="38"/>
      <c r="L108" s="38"/>
      <c r="M108" s="38"/>
      <c r="N108" s="38">
        <f>O108</f>
        <v>0</v>
      </c>
      <c r="O108" s="38"/>
      <c r="P108" s="56">
        <f t="shared" si="10"/>
        <v>1124997</v>
      </c>
      <c r="Q108" s="54">
        <f>-138517+35863</f>
        <v>-102654</v>
      </c>
      <c r="R108" s="60">
        <v>-41214</v>
      </c>
      <c r="S108" s="60">
        <f>Q108-R98-R108</f>
        <v>5511</v>
      </c>
      <c r="W108" s="54"/>
    </row>
    <row r="109" spans="1:23" ht="18.75" customHeight="1" hidden="1">
      <c r="A109" s="40"/>
      <c r="B109" s="40" t="s">
        <v>268</v>
      </c>
      <c r="C109" s="40"/>
      <c r="D109" s="36" t="s">
        <v>269</v>
      </c>
      <c r="E109" s="38">
        <f t="shared" si="13"/>
        <v>0</v>
      </c>
      <c r="F109" s="38"/>
      <c r="G109" s="38"/>
      <c r="H109" s="38"/>
      <c r="I109" s="38"/>
      <c r="J109" s="38">
        <f t="shared" si="12"/>
        <v>0</v>
      </c>
      <c r="K109" s="38"/>
      <c r="L109" s="38"/>
      <c r="M109" s="38"/>
      <c r="N109" s="38"/>
      <c r="O109" s="38"/>
      <c r="P109" s="56">
        <f t="shared" si="10"/>
        <v>0</v>
      </c>
      <c r="Q109" s="54"/>
      <c r="R109" s="60"/>
      <c r="W109" s="54"/>
    </row>
    <row r="110" spans="1:23" ht="38.25">
      <c r="A110" s="40"/>
      <c r="B110" s="40" t="s">
        <v>334</v>
      </c>
      <c r="C110" s="76" t="s">
        <v>25</v>
      </c>
      <c r="D110" s="61" t="s">
        <v>384</v>
      </c>
      <c r="E110" s="38">
        <f t="shared" si="13"/>
        <v>3558168</v>
      </c>
      <c r="F110" s="38">
        <v>3558168</v>
      </c>
      <c r="G110" s="38"/>
      <c r="H110" s="38"/>
      <c r="I110" s="38"/>
      <c r="J110" s="38">
        <f t="shared" si="12"/>
        <v>0</v>
      </c>
      <c r="K110" s="38"/>
      <c r="L110" s="38"/>
      <c r="M110" s="38"/>
      <c r="N110" s="38"/>
      <c r="O110" s="38"/>
      <c r="P110" s="56">
        <f t="shared" si="10"/>
        <v>3558168</v>
      </c>
      <c r="Q110" s="54"/>
      <c r="R110" s="60"/>
      <c r="W110" s="54"/>
    </row>
    <row r="111" spans="1:23" s="55" customFormat="1" ht="12.75">
      <c r="A111" s="40"/>
      <c r="B111" s="40" t="s">
        <v>367</v>
      </c>
      <c r="C111" s="40"/>
      <c r="D111" s="61" t="s">
        <v>282</v>
      </c>
      <c r="E111" s="38">
        <f>E112+E114</f>
        <v>0</v>
      </c>
      <c r="F111" s="38"/>
      <c r="G111" s="38">
        <f>G112+G114</f>
        <v>0</v>
      </c>
      <c r="H111" s="38">
        <f>H112+H114</f>
        <v>0</v>
      </c>
      <c r="I111" s="38"/>
      <c r="J111" s="38">
        <f t="shared" si="12"/>
        <v>16885446</v>
      </c>
      <c r="K111" s="38">
        <f>K112+K114</f>
        <v>0</v>
      </c>
      <c r="L111" s="38">
        <f>L112+L114</f>
        <v>0</v>
      </c>
      <c r="M111" s="38">
        <f>M112+M114</f>
        <v>0</v>
      </c>
      <c r="N111" s="38">
        <f>N112+N114</f>
        <v>16885446</v>
      </c>
      <c r="O111" s="38">
        <f>O112+O114</f>
        <v>16885446</v>
      </c>
      <c r="P111" s="56">
        <f t="shared" si="10"/>
        <v>16885446</v>
      </c>
      <c r="Q111" s="54"/>
      <c r="R111" s="54"/>
      <c r="W111" s="54"/>
    </row>
    <row r="112" spans="1:23" s="58" customFormat="1" ht="12.75">
      <c r="A112" s="40"/>
      <c r="B112" s="40" t="s">
        <v>338</v>
      </c>
      <c r="C112" s="76" t="s">
        <v>6</v>
      </c>
      <c r="D112" s="36" t="s">
        <v>339</v>
      </c>
      <c r="E112" s="38"/>
      <c r="F112" s="38"/>
      <c r="G112" s="38"/>
      <c r="H112" s="38"/>
      <c r="I112" s="38"/>
      <c r="J112" s="38">
        <f t="shared" si="12"/>
        <v>16885446</v>
      </c>
      <c r="K112" s="38"/>
      <c r="L112" s="38"/>
      <c r="M112" s="38"/>
      <c r="N112" s="38">
        <f>O112</f>
        <v>16885446</v>
      </c>
      <c r="O112" s="38">
        <f>17993009+9837760-9837760-1245773+138210</f>
        <v>16885446</v>
      </c>
      <c r="P112" s="56">
        <f t="shared" si="10"/>
        <v>16885446</v>
      </c>
      <c r="Q112" s="54"/>
      <c r="R112" s="57"/>
      <c r="W112" s="54"/>
    </row>
    <row r="113" spans="1:23" s="58" customFormat="1" ht="45" hidden="1">
      <c r="A113" s="40"/>
      <c r="B113" s="40"/>
      <c r="C113" s="40"/>
      <c r="D113" s="93" t="s">
        <v>234</v>
      </c>
      <c r="E113" s="38"/>
      <c r="F113" s="38"/>
      <c r="G113" s="38"/>
      <c r="H113" s="38"/>
      <c r="I113" s="38"/>
      <c r="J113" s="38">
        <f t="shared" si="12"/>
        <v>0</v>
      </c>
      <c r="K113" s="38"/>
      <c r="L113" s="38"/>
      <c r="M113" s="38"/>
      <c r="N113" s="38">
        <f>O113</f>
        <v>0</v>
      </c>
      <c r="O113" s="78"/>
      <c r="P113" s="56">
        <f t="shared" si="10"/>
        <v>0</v>
      </c>
      <c r="Q113" s="54"/>
      <c r="R113" s="57"/>
      <c r="W113" s="54"/>
    </row>
    <row r="114" spans="1:23" ht="12.75" hidden="1">
      <c r="A114" s="40"/>
      <c r="B114" s="40" t="s">
        <v>358</v>
      </c>
      <c r="C114" s="40"/>
      <c r="D114" s="36" t="s">
        <v>359</v>
      </c>
      <c r="E114" s="38"/>
      <c r="F114" s="38"/>
      <c r="G114" s="38"/>
      <c r="H114" s="38"/>
      <c r="I114" s="38"/>
      <c r="J114" s="38">
        <f>K114+N114</f>
        <v>0</v>
      </c>
      <c r="K114" s="38"/>
      <c r="L114" s="38"/>
      <c r="M114" s="38"/>
      <c r="N114" s="38"/>
      <c r="O114" s="38"/>
      <c r="P114" s="56">
        <f t="shared" si="10"/>
        <v>0</v>
      </c>
      <c r="Q114" s="54"/>
      <c r="R114" s="60"/>
      <c r="W114" s="54"/>
    </row>
    <row r="115" spans="1:23" s="3" customFormat="1" ht="51" hidden="1">
      <c r="A115" s="40"/>
      <c r="B115" s="40"/>
      <c r="C115" s="40"/>
      <c r="D115" s="75" t="s">
        <v>148</v>
      </c>
      <c r="E115" s="38"/>
      <c r="F115" s="38"/>
      <c r="G115" s="38"/>
      <c r="H115" s="38"/>
      <c r="I115" s="38"/>
      <c r="J115" s="38">
        <f>K115+N115</f>
        <v>0</v>
      </c>
      <c r="K115" s="38"/>
      <c r="L115" s="38"/>
      <c r="M115" s="38"/>
      <c r="N115" s="38"/>
      <c r="O115" s="38">
        <f>N115</f>
        <v>0</v>
      </c>
      <c r="P115" s="56">
        <f t="shared" si="10"/>
        <v>0</v>
      </c>
      <c r="Q115" s="54"/>
      <c r="W115" s="54"/>
    </row>
    <row r="116" spans="1:23" s="3" customFormat="1" ht="12.75" hidden="1">
      <c r="A116" s="40"/>
      <c r="B116" s="40" t="s">
        <v>370</v>
      </c>
      <c r="C116" s="40"/>
      <c r="D116" s="61" t="s">
        <v>374</v>
      </c>
      <c r="E116" s="38">
        <f>E117</f>
        <v>0</v>
      </c>
      <c r="F116" s="38"/>
      <c r="G116" s="38"/>
      <c r="H116" s="38"/>
      <c r="I116" s="38"/>
      <c r="J116" s="38">
        <f t="shared" si="12"/>
        <v>0</v>
      </c>
      <c r="K116" s="38">
        <f>K117</f>
        <v>0</v>
      </c>
      <c r="L116" s="38">
        <f>L117</f>
        <v>0</v>
      </c>
      <c r="M116" s="38">
        <f>M117</f>
        <v>0</v>
      </c>
      <c r="N116" s="38">
        <f>N117</f>
        <v>0</v>
      </c>
      <c r="O116" s="38">
        <f>O117</f>
        <v>0</v>
      </c>
      <c r="P116" s="56">
        <f t="shared" si="10"/>
        <v>0</v>
      </c>
      <c r="Q116" s="54"/>
      <c r="W116" s="54"/>
    </row>
    <row r="117" spans="1:23" s="3" customFormat="1" ht="39.75" customHeight="1" hidden="1">
      <c r="A117" s="40"/>
      <c r="B117" s="40" t="s">
        <v>286</v>
      </c>
      <c r="C117" s="40"/>
      <c r="D117" s="61" t="s">
        <v>333</v>
      </c>
      <c r="E117" s="38"/>
      <c r="F117" s="38"/>
      <c r="G117" s="38"/>
      <c r="H117" s="38"/>
      <c r="I117" s="38"/>
      <c r="J117" s="38">
        <f t="shared" si="12"/>
        <v>0</v>
      </c>
      <c r="K117" s="38"/>
      <c r="L117" s="38"/>
      <c r="M117" s="38"/>
      <c r="N117" s="38"/>
      <c r="O117" s="38"/>
      <c r="P117" s="56">
        <f t="shared" si="10"/>
        <v>0</v>
      </c>
      <c r="Q117" s="54"/>
      <c r="W117" s="54"/>
    </row>
    <row r="118" spans="1:23" s="3" customFormat="1" ht="41.25" customHeight="1">
      <c r="A118" s="100"/>
      <c r="B118" s="100" t="s">
        <v>164</v>
      </c>
      <c r="C118" s="100"/>
      <c r="D118" s="101" t="s">
        <v>128</v>
      </c>
      <c r="E118" s="52">
        <f>E119+E121+E124+E186+E189+E198+E200</f>
        <v>1141596607</v>
      </c>
      <c r="F118" s="52">
        <f>F119+F121+F124+F186+F189+F198+F200</f>
        <v>1141596607</v>
      </c>
      <c r="G118" s="52">
        <f>G119+G121+G124+G186+G189+G198+G200</f>
        <v>35809764</v>
      </c>
      <c r="H118" s="52">
        <f>H119+H121+H124+H186+H189+H198+H200</f>
        <v>3522007</v>
      </c>
      <c r="I118" s="52">
        <f>I119+I121+I124+I186+I189+I198+I200</f>
        <v>0</v>
      </c>
      <c r="J118" s="52">
        <f>K118+N118</f>
        <v>6938642</v>
      </c>
      <c r="K118" s="52">
        <f>K119+K121+K124+K186+K189+K198+K200</f>
        <v>153971</v>
      </c>
      <c r="L118" s="52">
        <f>L119+L121+L124+L186+L189+L198+L200</f>
        <v>88808</v>
      </c>
      <c r="M118" s="52">
        <f>M119+M121+M124+M186+M189+M198+M200</f>
        <v>0</v>
      </c>
      <c r="N118" s="52">
        <f>N119+N121+N124+N186+N189+N198+N200</f>
        <v>6784671</v>
      </c>
      <c r="O118" s="141">
        <f>O119+O121+O124+O186+O189+O198+O200</f>
        <v>6784671</v>
      </c>
      <c r="P118" s="53">
        <f t="shared" si="10"/>
        <v>1148535249</v>
      </c>
      <c r="Q118" s="54"/>
      <c r="W118" s="54"/>
    </row>
    <row r="119" spans="1:23" s="3" customFormat="1" ht="12.75">
      <c r="A119" s="43"/>
      <c r="B119" s="43" t="s">
        <v>363</v>
      </c>
      <c r="C119" s="43"/>
      <c r="D119" s="44" t="s">
        <v>364</v>
      </c>
      <c r="E119" s="37">
        <f>E120</f>
        <v>34043798</v>
      </c>
      <c r="F119" s="37">
        <f>F120</f>
        <v>34043798</v>
      </c>
      <c r="G119" s="37">
        <f>G120</f>
        <v>22896242</v>
      </c>
      <c r="H119" s="37">
        <f>H120</f>
        <v>1294951</v>
      </c>
      <c r="I119" s="37"/>
      <c r="J119" s="38">
        <f>K119+N119</f>
        <v>1766140</v>
      </c>
      <c r="K119" s="37">
        <f>K120</f>
        <v>0</v>
      </c>
      <c r="L119" s="37">
        <f>L120</f>
        <v>0</v>
      </c>
      <c r="M119" s="37">
        <f>M120</f>
        <v>0</v>
      </c>
      <c r="N119" s="37">
        <f>N120</f>
        <v>1766140</v>
      </c>
      <c r="O119" s="136">
        <f>O120</f>
        <v>1766140</v>
      </c>
      <c r="P119" s="56">
        <f t="shared" si="10"/>
        <v>35809938</v>
      </c>
      <c r="Q119" s="54"/>
      <c r="W119" s="54"/>
    </row>
    <row r="120" spans="1:23" s="3" customFormat="1" ht="12.75">
      <c r="A120" s="40"/>
      <c r="B120" s="40" t="s">
        <v>248</v>
      </c>
      <c r="C120" s="76" t="s">
        <v>4</v>
      </c>
      <c r="D120" s="59" t="s">
        <v>249</v>
      </c>
      <c r="E120" s="38">
        <f>F120+I120</f>
        <v>34043798</v>
      </c>
      <c r="F120" s="38">
        <f>31047804+478+494477+2501039</f>
        <v>34043798</v>
      </c>
      <c r="G120" s="38">
        <f>21080009+356417+1459816</f>
        <v>22896242</v>
      </c>
      <c r="H120" s="38">
        <v>1294951</v>
      </c>
      <c r="I120" s="38"/>
      <c r="J120" s="38">
        <f>K120+N120</f>
        <v>1766140</v>
      </c>
      <c r="K120" s="38"/>
      <c r="L120" s="38"/>
      <c r="M120" s="38"/>
      <c r="N120" s="78">
        <f>O120</f>
        <v>1766140</v>
      </c>
      <c r="O120" s="78">
        <f>1261522+504618</f>
        <v>1766140</v>
      </c>
      <c r="P120" s="56">
        <f t="shared" si="10"/>
        <v>35809938</v>
      </c>
      <c r="Q120" s="54"/>
      <c r="W120" s="54"/>
    </row>
    <row r="121" spans="1:23" s="3" customFormat="1" ht="12.75">
      <c r="A121" s="9"/>
      <c r="B121" s="9" t="s">
        <v>250</v>
      </c>
      <c r="C121" s="9"/>
      <c r="D121" s="15" t="s">
        <v>251</v>
      </c>
      <c r="E121" s="27">
        <f>E122</f>
        <v>1285600</v>
      </c>
      <c r="F121" s="27">
        <f>F122</f>
        <v>1285600</v>
      </c>
      <c r="G121" s="27">
        <f>G122</f>
        <v>0</v>
      </c>
      <c r="H121" s="27">
        <f>H122</f>
        <v>0</v>
      </c>
      <c r="I121" s="27"/>
      <c r="J121" s="27">
        <f>K121+N121</f>
        <v>0</v>
      </c>
      <c r="K121" s="27"/>
      <c r="L121" s="27"/>
      <c r="M121" s="27"/>
      <c r="N121" s="136">
        <f>N122</f>
        <v>0</v>
      </c>
      <c r="O121" s="136">
        <f>O122</f>
        <v>0</v>
      </c>
      <c r="P121" s="26">
        <f t="shared" si="10"/>
        <v>1285600</v>
      </c>
      <c r="Q121" s="54"/>
      <c r="W121" s="54"/>
    </row>
    <row r="122" spans="1:23" s="3" customFormat="1" ht="25.5">
      <c r="A122" s="9"/>
      <c r="B122" s="9" t="s">
        <v>245</v>
      </c>
      <c r="C122" s="9" t="s">
        <v>8</v>
      </c>
      <c r="D122" s="15" t="s">
        <v>246</v>
      </c>
      <c r="E122" s="27">
        <f>F122+I122</f>
        <v>1285600</v>
      </c>
      <c r="F122" s="27">
        <v>1285600</v>
      </c>
      <c r="G122" s="27"/>
      <c r="H122" s="27"/>
      <c r="I122" s="27"/>
      <c r="J122" s="27">
        <f>K122+N122</f>
        <v>0</v>
      </c>
      <c r="K122" s="27"/>
      <c r="L122" s="27"/>
      <c r="M122" s="27"/>
      <c r="N122" s="27"/>
      <c r="O122" s="27"/>
      <c r="P122" s="26">
        <f aca="true" t="shared" si="14" ref="P122:P131">E122+J122</f>
        <v>1285600</v>
      </c>
      <c r="Q122" s="54"/>
      <c r="W122" s="54"/>
    </row>
    <row r="123" spans="1:23" s="3" customFormat="1" ht="100.5" customHeight="1">
      <c r="A123" s="9"/>
      <c r="B123" s="9"/>
      <c r="C123" s="9"/>
      <c r="D123" s="93" t="s">
        <v>110</v>
      </c>
      <c r="E123" s="27">
        <f>E122</f>
        <v>1285600</v>
      </c>
      <c r="F123" s="27">
        <f>F122</f>
        <v>1285600</v>
      </c>
      <c r="G123" s="27"/>
      <c r="H123" s="27"/>
      <c r="I123" s="27"/>
      <c r="J123" s="27"/>
      <c r="K123" s="27"/>
      <c r="L123" s="27"/>
      <c r="M123" s="27"/>
      <c r="N123" s="27"/>
      <c r="O123" s="27"/>
      <c r="P123" s="26">
        <f t="shared" si="14"/>
        <v>1285600</v>
      </c>
      <c r="Q123" s="54"/>
      <c r="W123" s="54"/>
    </row>
    <row r="124" spans="1:23" s="3" customFormat="1" ht="25.5">
      <c r="A124" s="40"/>
      <c r="B124" s="40" t="s">
        <v>270</v>
      </c>
      <c r="C124" s="40"/>
      <c r="D124" s="61" t="s">
        <v>317</v>
      </c>
      <c r="E124" s="38">
        <f>E125+E127+E129+E131+E134+E137+E139+E141+E143+E145+E147+E149+E151+E153+E155+E157+E159+E161+E163+E165+E167+E171+E175+E180+E181+E183+E184+E182+E177+E178+E179+E169+E173</f>
        <v>1052386739</v>
      </c>
      <c r="F124" s="38">
        <f>F125+F127+F129+F131+F134+F137+F139+F141+F143+F145+F147+F149+F151+F153+F155+F157+F159+F161+F163+F165+F167+F171+F175+F180+F181+F183+F184+F182+F177+F178+F179+F169+F173</f>
        <v>1052386739</v>
      </c>
      <c r="G124" s="38">
        <f>G125+G127+G129+G131+G134+G137+G139+G141+G143+G145+G147+G149+G151+G153+G155+G157+G159+G161+G163+G165+G167+G171+G175+G180+G181+G183+G184+G182+G177+G178+G179</f>
        <v>12913522</v>
      </c>
      <c r="H124" s="38">
        <f>H125+H127+H129+H131+H134+H137+H139+H141+H143+H145+H147+H149+H151+H153+H155+H157+H159+H161+H163+H165+H167+H171+H175+H180+H181+H183+H184+H182+H177+H178+H179</f>
        <v>2227056</v>
      </c>
      <c r="I124" s="38">
        <f>I125+I127+I129+I131+I134+I137+I139+I141+I143+I145+I147+I149+I151+I153+I155+I157+I159+I161+I163+I165+I167+I171+I175+I180+I181+I183+I184+I182+I177+I178+I179+I169</f>
        <v>0</v>
      </c>
      <c r="J124" s="38">
        <f>K124+N124</f>
        <v>1363179</v>
      </c>
      <c r="K124" s="38">
        <f>K125+K127+K129+K131+K134+K137+K139+K141+K143+K145+K147+K149+K151+K153+K155+K157+K159+K161+K163+K165+K167+K171+K175+K180+K181+K183+K184+K182+K177+K178+K179</f>
        <v>153971</v>
      </c>
      <c r="L124" s="38">
        <f>L125+L127+L129+L131+L134+L137+L139+L141+L143+L145+L147+L149+L151+L153+L155+L157+L159+L161+L163+L165+L167+L171+L175+L180+L181+L183+L184+L182+L177+L178+L179</f>
        <v>88808</v>
      </c>
      <c r="M124" s="38">
        <f>M125+M127+M129+M131+M134+M137+M139+M141+M143+M145+M147+M149+M151+M153+M155+M157+M159+M161+M163+M165+M167+M171+M175+M180+M181+M183+M184+M182+M177+M178+M179</f>
        <v>0</v>
      </c>
      <c r="N124" s="38">
        <f>N125+N127+N129+N131+N134+N137+N139+N141+N143+N145+N147+N149+N151+N153+N155+N157+N159+N161+N163+N165+N167+N171+N175+N180+N181+N183+N184+N182+N177+N178+N179</f>
        <v>1209208</v>
      </c>
      <c r="O124" s="38">
        <f>O125+O127+O129+O131+O134+O137+O139+O141+O143+O145+O147+O149+O151+O153+O155+O157+O159+O161+O163+O165+O167+O171+O175+O180+O181+O183+O184+O182+O177+O178+O179</f>
        <v>1209208</v>
      </c>
      <c r="P124" s="56">
        <f t="shared" si="14"/>
        <v>1053749918</v>
      </c>
      <c r="Q124" s="54"/>
      <c r="W124" s="54"/>
    </row>
    <row r="125" spans="1:23" s="3" customFormat="1" ht="214.5" customHeight="1">
      <c r="A125" s="9"/>
      <c r="B125" s="9" t="s">
        <v>319</v>
      </c>
      <c r="C125" s="9" t="s">
        <v>26</v>
      </c>
      <c r="D125" s="41" t="s">
        <v>83</v>
      </c>
      <c r="E125" s="27">
        <f>F125</f>
        <v>248786493</v>
      </c>
      <c r="F125" s="27">
        <f>128988796+119797697</f>
        <v>248786493</v>
      </c>
      <c r="G125" s="27"/>
      <c r="H125" s="27"/>
      <c r="I125" s="27"/>
      <c r="J125" s="27">
        <f>K125+N125</f>
        <v>0</v>
      </c>
      <c r="K125" s="27"/>
      <c r="L125" s="27"/>
      <c r="M125" s="27"/>
      <c r="N125" s="27"/>
      <c r="O125" s="27"/>
      <c r="P125" s="26">
        <f t="shared" si="14"/>
        <v>248786493</v>
      </c>
      <c r="Q125" s="54"/>
      <c r="W125" s="54"/>
    </row>
    <row r="126" spans="1:23" s="3" customFormat="1" ht="97.5" customHeight="1">
      <c r="A126" s="9"/>
      <c r="B126" s="9"/>
      <c r="C126" s="9"/>
      <c r="D126" s="93" t="s">
        <v>181</v>
      </c>
      <c r="E126" s="27">
        <f>E125</f>
        <v>248786493</v>
      </c>
      <c r="F126" s="27">
        <f>F125</f>
        <v>248786493</v>
      </c>
      <c r="G126" s="27"/>
      <c r="H126" s="27"/>
      <c r="I126" s="27"/>
      <c r="J126" s="27">
        <f>K126+N126</f>
        <v>0</v>
      </c>
      <c r="K126" s="27">
        <f>K125</f>
        <v>0</v>
      </c>
      <c r="L126" s="27"/>
      <c r="M126" s="27"/>
      <c r="N126" s="27"/>
      <c r="O126" s="27"/>
      <c r="P126" s="26">
        <f t="shared" si="14"/>
        <v>248786493</v>
      </c>
      <c r="Q126" s="54"/>
      <c r="W126" s="54"/>
    </row>
    <row r="127" spans="1:23" s="3" customFormat="1" ht="186" customHeight="1">
      <c r="A127" s="9"/>
      <c r="B127" s="9" t="s">
        <v>322</v>
      </c>
      <c r="C127" s="9" t="s">
        <v>26</v>
      </c>
      <c r="D127" s="41" t="s">
        <v>87</v>
      </c>
      <c r="E127" s="27">
        <f>F127</f>
        <v>89445</v>
      </c>
      <c r="F127" s="27">
        <v>89445</v>
      </c>
      <c r="G127" s="27"/>
      <c r="H127" s="27"/>
      <c r="I127" s="27"/>
      <c r="J127" s="27">
        <f>K127+N127</f>
        <v>0</v>
      </c>
      <c r="K127" s="27"/>
      <c r="L127" s="27"/>
      <c r="M127" s="27"/>
      <c r="N127" s="27"/>
      <c r="O127" s="27"/>
      <c r="P127" s="26">
        <f t="shared" si="14"/>
        <v>89445</v>
      </c>
      <c r="Q127" s="54"/>
      <c r="W127" s="54"/>
    </row>
    <row r="128" spans="1:23" s="3" customFormat="1" ht="60.75" customHeight="1">
      <c r="A128" s="9"/>
      <c r="B128" s="9"/>
      <c r="C128" s="9"/>
      <c r="D128" s="93" t="s">
        <v>111</v>
      </c>
      <c r="E128" s="27">
        <f>E127</f>
        <v>89445</v>
      </c>
      <c r="F128" s="27">
        <f>F127</f>
        <v>89445</v>
      </c>
      <c r="G128" s="27"/>
      <c r="H128" s="27"/>
      <c r="I128" s="27"/>
      <c r="J128" s="27"/>
      <c r="K128" s="27"/>
      <c r="L128" s="27"/>
      <c r="M128" s="27"/>
      <c r="N128" s="27"/>
      <c r="O128" s="27"/>
      <c r="P128" s="26">
        <f t="shared" si="14"/>
        <v>89445</v>
      </c>
      <c r="Q128" s="54"/>
      <c r="W128" s="54"/>
    </row>
    <row r="129" spans="1:23" s="3" customFormat="1" ht="202.5" customHeight="1">
      <c r="A129" s="9"/>
      <c r="B129" s="9" t="s">
        <v>323</v>
      </c>
      <c r="C129" s="9" t="s">
        <v>26</v>
      </c>
      <c r="D129" s="41" t="s">
        <v>88</v>
      </c>
      <c r="E129" s="27">
        <f>F129+I129</f>
        <v>1358330</v>
      </c>
      <c r="F129" s="27">
        <v>1358330</v>
      </c>
      <c r="G129" s="27"/>
      <c r="H129" s="27"/>
      <c r="I129" s="27"/>
      <c r="J129" s="27">
        <f>K129+N129</f>
        <v>124400</v>
      </c>
      <c r="K129" s="27"/>
      <c r="L129" s="27"/>
      <c r="M129" s="27"/>
      <c r="N129" s="27">
        <f>O129</f>
        <v>124400</v>
      </c>
      <c r="O129" s="27">
        <v>124400</v>
      </c>
      <c r="P129" s="26">
        <f t="shared" si="14"/>
        <v>1482730</v>
      </c>
      <c r="Q129" s="54"/>
      <c r="W129" s="54"/>
    </row>
    <row r="130" spans="1:23" s="3" customFormat="1" ht="179.25" customHeight="1">
      <c r="A130" s="9"/>
      <c r="B130" s="9"/>
      <c r="C130" s="9"/>
      <c r="D130" s="93" t="s">
        <v>103</v>
      </c>
      <c r="E130" s="27">
        <f>E129</f>
        <v>1358330</v>
      </c>
      <c r="F130" s="27">
        <f>F129</f>
        <v>1358330</v>
      </c>
      <c r="G130" s="27">
        <f aca="true" t="shared" si="15" ref="G130:O130">G129</f>
        <v>0</v>
      </c>
      <c r="H130" s="27">
        <f t="shared" si="15"/>
        <v>0</v>
      </c>
      <c r="I130" s="27">
        <f>I129</f>
        <v>0</v>
      </c>
      <c r="J130" s="27">
        <f t="shared" si="15"/>
        <v>124400</v>
      </c>
      <c r="K130" s="27">
        <f t="shared" si="15"/>
        <v>0</v>
      </c>
      <c r="L130" s="27">
        <f t="shared" si="15"/>
        <v>0</v>
      </c>
      <c r="M130" s="27">
        <f t="shared" si="15"/>
        <v>0</v>
      </c>
      <c r="N130" s="27">
        <f t="shared" si="15"/>
        <v>124400</v>
      </c>
      <c r="O130" s="27">
        <f t="shared" si="15"/>
        <v>124400</v>
      </c>
      <c r="P130" s="26">
        <f t="shared" si="14"/>
        <v>1482730</v>
      </c>
      <c r="Q130" s="54"/>
      <c r="W130" s="54"/>
    </row>
    <row r="131" spans="1:23" s="3" customFormat="1" ht="337.5" customHeight="1">
      <c r="A131" s="83"/>
      <c r="B131" s="83" t="s">
        <v>324</v>
      </c>
      <c r="C131" s="83" t="s">
        <v>26</v>
      </c>
      <c r="D131" s="84" t="s">
        <v>434</v>
      </c>
      <c r="E131" s="85">
        <f>F131</f>
        <v>30532384</v>
      </c>
      <c r="F131" s="85">
        <f>15830182+14702202</f>
        <v>30532384</v>
      </c>
      <c r="G131" s="85"/>
      <c r="H131" s="85"/>
      <c r="I131" s="85"/>
      <c r="J131" s="85">
        <f>K131+N131</f>
        <v>0</v>
      </c>
      <c r="K131" s="85"/>
      <c r="L131" s="85"/>
      <c r="M131" s="85"/>
      <c r="N131" s="85"/>
      <c r="O131" s="85"/>
      <c r="P131" s="80">
        <f t="shared" si="14"/>
        <v>30532384</v>
      </c>
      <c r="Q131" s="54"/>
      <c r="W131" s="54"/>
    </row>
    <row r="132" spans="1:23" s="3" customFormat="1" ht="237" customHeight="1">
      <c r="A132" s="81"/>
      <c r="B132" s="81"/>
      <c r="C132" s="81"/>
      <c r="D132" s="86" t="s">
        <v>435</v>
      </c>
      <c r="E132" s="82"/>
      <c r="F132" s="82"/>
      <c r="G132" s="82"/>
      <c r="H132" s="82"/>
      <c r="I132" s="82"/>
      <c r="J132" s="82"/>
      <c r="K132" s="82"/>
      <c r="L132" s="82"/>
      <c r="M132" s="82"/>
      <c r="N132" s="82"/>
      <c r="O132" s="82"/>
      <c r="P132" s="79"/>
      <c r="Q132" s="54"/>
      <c r="W132" s="54"/>
    </row>
    <row r="133" spans="1:23" s="3" customFormat="1" ht="102" customHeight="1">
      <c r="A133" s="9"/>
      <c r="B133" s="9"/>
      <c r="C133" s="9"/>
      <c r="D133" s="93" t="s">
        <v>236</v>
      </c>
      <c r="E133" s="27">
        <f>F133</f>
        <v>30532384</v>
      </c>
      <c r="F133" s="27">
        <f>F131</f>
        <v>30532384</v>
      </c>
      <c r="G133" s="27"/>
      <c r="H133" s="27"/>
      <c r="I133" s="27"/>
      <c r="J133" s="27">
        <f>K133+N133</f>
        <v>0</v>
      </c>
      <c r="K133" s="27">
        <f>K131</f>
        <v>0</v>
      </c>
      <c r="L133" s="27"/>
      <c r="M133" s="27"/>
      <c r="N133" s="27"/>
      <c r="O133" s="27"/>
      <c r="P133" s="26">
        <f aca="true" t="shared" si="16" ref="P133:P164">E133+J133</f>
        <v>30532384</v>
      </c>
      <c r="Q133" s="54"/>
      <c r="W133" s="54"/>
    </row>
    <row r="134" spans="1:23" s="3" customFormat="1" ht="372">
      <c r="A134" s="83"/>
      <c r="B134" s="83" t="s">
        <v>325</v>
      </c>
      <c r="C134" s="83" t="s">
        <v>26</v>
      </c>
      <c r="D134" s="84" t="s">
        <v>437</v>
      </c>
      <c r="E134" s="85">
        <f>F134</f>
        <v>5515</v>
      </c>
      <c r="F134" s="85">
        <v>5515</v>
      </c>
      <c r="G134" s="85"/>
      <c r="H134" s="85"/>
      <c r="I134" s="85"/>
      <c r="J134" s="85">
        <f>K134+N134</f>
        <v>0</v>
      </c>
      <c r="K134" s="85"/>
      <c r="L134" s="85"/>
      <c r="M134" s="85"/>
      <c r="N134" s="85"/>
      <c r="O134" s="85"/>
      <c r="P134" s="80">
        <f t="shared" si="16"/>
        <v>5515</v>
      </c>
      <c r="Q134" s="54"/>
      <c r="W134" s="54"/>
    </row>
    <row r="135" spans="1:23" s="3" customFormat="1" ht="120">
      <c r="A135" s="81"/>
      <c r="B135" s="81"/>
      <c r="C135" s="81"/>
      <c r="D135" s="86" t="s">
        <v>436</v>
      </c>
      <c r="E135" s="82"/>
      <c r="F135" s="82"/>
      <c r="G135" s="82"/>
      <c r="H135" s="82"/>
      <c r="I135" s="82"/>
      <c r="J135" s="82">
        <f>K135+N135</f>
        <v>0</v>
      </c>
      <c r="K135" s="82"/>
      <c r="L135" s="82"/>
      <c r="M135" s="82"/>
      <c r="N135" s="82"/>
      <c r="O135" s="82"/>
      <c r="P135" s="79">
        <f t="shared" si="16"/>
        <v>0</v>
      </c>
      <c r="Q135" s="54"/>
      <c r="W135" s="54"/>
    </row>
    <row r="136" spans="1:23" s="3" customFormat="1" ht="56.25" customHeight="1">
      <c r="A136" s="9"/>
      <c r="B136" s="9"/>
      <c r="C136" s="9"/>
      <c r="D136" s="93" t="s">
        <v>111</v>
      </c>
      <c r="E136" s="27">
        <f>E134</f>
        <v>5515</v>
      </c>
      <c r="F136" s="27">
        <f>F134</f>
        <v>5515</v>
      </c>
      <c r="G136" s="27"/>
      <c r="H136" s="27"/>
      <c r="I136" s="27"/>
      <c r="J136" s="27"/>
      <c r="K136" s="27"/>
      <c r="L136" s="27"/>
      <c r="M136" s="27"/>
      <c r="N136" s="27"/>
      <c r="O136" s="27"/>
      <c r="P136" s="26">
        <f t="shared" si="16"/>
        <v>5515</v>
      </c>
      <c r="Q136" s="54"/>
      <c r="W136" s="54"/>
    </row>
    <row r="137" spans="1:23" s="3" customFormat="1" ht="90" customHeight="1">
      <c r="A137" s="9"/>
      <c r="B137" s="9" t="s">
        <v>326</v>
      </c>
      <c r="C137" s="9" t="s">
        <v>27</v>
      </c>
      <c r="D137" s="42" t="s">
        <v>402</v>
      </c>
      <c r="E137" s="27">
        <f>F137</f>
        <v>11017844</v>
      </c>
      <c r="F137" s="27">
        <f>5712442+5305402</f>
        <v>11017844</v>
      </c>
      <c r="G137" s="27"/>
      <c r="H137" s="27"/>
      <c r="I137" s="27"/>
      <c r="J137" s="27">
        <f>K137+N137</f>
        <v>0</v>
      </c>
      <c r="K137" s="27"/>
      <c r="L137" s="27"/>
      <c r="M137" s="27"/>
      <c r="N137" s="27"/>
      <c r="O137" s="27"/>
      <c r="P137" s="26">
        <f t="shared" si="16"/>
        <v>11017844</v>
      </c>
      <c r="Q137" s="54"/>
      <c r="W137" s="54"/>
    </row>
    <row r="138" spans="1:23" s="3" customFormat="1" ht="90" customHeight="1">
      <c r="A138" s="9"/>
      <c r="B138" s="9"/>
      <c r="C138" s="9"/>
      <c r="D138" s="93" t="s">
        <v>236</v>
      </c>
      <c r="E138" s="27">
        <f>E137</f>
        <v>11017844</v>
      </c>
      <c r="F138" s="27">
        <f>F137</f>
        <v>11017844</v>
      </c>
      <c r="G138" s="27"/>
      <c r="H138" s="27"/>
      <c r="I138" s="27"/>
      <c r="J138" s="27">
        <f>K138+N138</f>
        <v>0</v>
      </c>
      <c r="K138" s="27">
        <f>K137</f>
        <v>0</v>
      </c>
      <c r="L138" s="27"/>
      <c r="M138" s="27"/>
      <c r="N138" s="27"/>
      <c r="O138" s="27"/>
      <c r="P138" s="26">
        <f t="shared" si="16"/>
        <v>11017844</v>
      </c>
      <c r="Q138" s="54"/>
      <c r="W138" s="54"/>
    </row>
    <row r="139" spans="1:23" s="3" customFormat="1" ht="84">
      <c r="A139" s="9"/>
      <c r="B139" s="9" t="s">
        <v>327</v>
      </c>
      <c r="C139" s="9" t="s">
        <v>27</v>
      </c>
      <c r="D139" s="42" t="s">
        <v>403</v>
      </c>
      <c r="E139" s="27">
        <f>F139</f>
        <v>6109</v>
      </c>
      <c r="F139" s="27">
        <v>6109</v>
      </c>
      <c r="G139" s="27"/>
      <c r="H139" s="27"/>
      <c r="I139" s="27"/>
      <c r="J139" s="27">
        <f>K139+N139</f>
        <v>0</v>
      </c>
      <c r="K139" s="27"/>
      <c r="L139" s="27"/>
      <c r="M139" s="27"/>
      <c r="N139" s="27"/>
      <c r="O139" s="27"/>
      <c r="P139" s="26">
        <f t="shared" si="16"/>
        <v>6109</v>
      </c>
      <c r="Q139" s="54"/>
      <c r="W139" s="54"/>
    </row>
    <row r="140" spans="1:23" s="3" customFormat="1" ht="53.25" customHeight="1">
      <c r="A140" s="9"/>
      <c r="B140" s="9"/>
      <c r="C140" s="9"/>
      <c r="D140" s="93" t="s">
        <v>111</v>
      </c>
      <c r="E140" s="27">
        <f>E139</f>
        <v>6109</v>
      </c>
      <c r="F140" s="27">
        <f>F139</f>
        <v>6109</v>
      </c>
      <c r="G140" s="27"/>
      <c r="H140" s="27"/>
      <c r="I140" s="27"/>
      <c r="J140" s="27"/>
      <c r="K140" s="27"/>
      <c r="L140" s="27"/>
      <c r="M140" s="27"/>
      <c r="N140" s="27"/>
      <c r="O140" s="27"/>
      <c r="P140" s="26">
        <f t="shared" si="16"/>
        <v>6109</v>
      </c>
      <c r="Q140" s="54"/>
      <c r="W140" s="54"/>
    </row>
    <row r="141" spans="1:23" s="3" customFormat="1" ht="72" customHeight="1">
      <c r="A141" s="9"/>
      <c r="B141" s="9" t="s">
        <v>328</v>
      </c>
      <c r="C141" s="9" t="s">
        <v>27</v>
      </c>
      <c r="D141" s="42" t="s">
        <v>404</v>
      </c>
      <c r="E141" s="27">
        <f>F141</f>
        <v>48000</v>
      </c>
      <c r="F141" s="27">
        <v>48000</v>
      </c>
      <c r="G141" s="27"/>
      <c r="H141" s="27"/>
      <c r="I141" s="27"/>
      <c r="J141" s="27">
        <f aca="true" t="shared" si="17" ref="J141:J149">K141+N141</f>
        <v>0</v>
      </c>
      <c r="K141" s="27"/>
      <c r="L141" s="27"/>
      <c r="M141" s="27"/>
      <c r="N141" s="27"/>
      <c r="O141" s="27"/>
      <c r="P141" s="26">
        <f t="shared" si="16"/>
        <v>48000</v>
      </c>
      <c r="Q141" s="54"/>
      <c r="W141" s="54"/>
    </row>
    <row r="142" spans="1:23" s="3" customFormat="1" ht="195" customHeight="1">
      <c r="A142" s="9"/>
      <c r="B142" s="9"/>
      <c r="C142" s="9"/>
      <c r="D142" s="93" t="s">
        <v>103</v>
      </c>
      <c r="E142" s="27">
        <f>E141</f>
        <v>48000</v>
      </c>
      <c r="F142" s="27">
        <f>F141</f>
        <v>48000</v>
      </c>
      <c r="G142" s="27"/>
      <c r="H142" s="27"/>
      <c r="I142" s="27"/>
      <c r="J142" s="27">
        <f t="shared" si="17"/>
        <v>0</v>
      </c>
      <c r="K142" s="27"/>
      <c r="L142" s="27"/>
      <c r="M142" s="27"/>
      <c r="N142" s="27"/>
      <c r="O142" s="27"/>
      <c r="P142" s="26">
        <f t="shared" si="16"/>
        <v>48000</v>
      </c>
      <c r="Q142" s="54"/>
      <c r="W142" s="54"/>
    </row>
    <row r="143" spans="1:23" s="3" customFormat="1" ht="25.5">
      <c r="A143" s="9"/>
      <c r="B143" s="9" t="s">
        <v>243</v>
      </c>
      <c r="C143" s="9" t="s">
        <v>27</v>
      </c>
      <c r="D143" s="15" t="s">
        <v>244</v>
      </c>
      <c r="E143" s="27">
        <f>F143</f>
        <v>3938000</v>
      </c>
      <c r="F143" s="27">
        <v>3938000</v>
      </c>
      <c r="G143" s="27"/>
      <c r="H143" s="27"/>
      <c r="I143" s="27"/>
      <c r="J143" s="27">
        <f t="shared" si="17"/>
        <v>0</v>
      </c>
      <c r="K143" s="27"/>
      <c r="L143" s="27"/>
      <c r="M143" s="27"/>
      <c r="N143" s="27"/>
      <c r="O143" s="27"/>
      <c r="P143" s="26">
        <f t="shared" si="16"/>
        <v>3938000</v>
      </c>
      <c r="Q143" s="54"/>
      <c r="W143" s="54"/>
    </row>
    <row r="144" spans="1:23" s="3" customFormat="1" ht="189.75" customHeight="1">
      <c r="A144" s="9"/>
      <c r="B144" s="9"/>
      <c r="C144" s="9"/>
      <c r="D144" s="93" t="s">
        <v>103</v>
      </c>
      <c r="E144" s="27">
        <f>E143</f>
        <v>3938000</v>
      </c>
      <c r="F144" s="27">
        <f>F143</f>
        <v>3938000</v>
      </c>
      <c r="G144" s="27"/>
      <c r="H144" s="27"/>
      <c r="I144" s="27"/>
      <c r="J144" s="27">
        <f t="shared" si="17"/>
        <v>0</v>
      </c>
      <c r="K144" s="27"/>
      <c r="L144" s="27"/>
      <c r="M144" s="27"/>
      <c r="N144" s="27"/>
      <c r="O144" s="27"/>
      <c r="P144" s="26">
        <f t="shared" si="16"/>
        <v>3938000</v>
      </c>
      <c r="Q144" s="54"/>
      <c r="W144" s="54"/>
    </row>
    <row r="145" spans="1:23" s="3" customFormat="1" ht="144.75" customHeight="1">
      <c r="A145" s="9"/>
      <c r="B145" s="9" t="s">
        <v>314</v>
      </c>
      <c r="C145" s="9" t="s">
        <v>27</v>
      </c>
      <c r="D145" s="15" t="s">
        <v>438</v>
      </c>
      <c r="E145" s="27">
        <f>F145</f>
        <v>16018897</v>
      </c>
      <c r="F145" s="27">
        <f>8305347+7713550</f>
        <v>16018897</v>
      </c>
      <c r="G145" s="27"/>
      <c r="H145" s="27"/>
      <c r="I145" s="27"/>
      <c r="J145" s="27">
        <f t="shared" si="17"/>
        <v>0</v>
      </c>
      <c r="K145" s="27"/>
      <c r="L145" s="27"/>
      <c r="M145" s="27"/>
      <c r="N145" s="27"/>
      <c r="O145" s="27"/>
      <c r="P145" s="26">
        <f t="shared" si="16"/>
        <v>16018897</v>
      </c>
      <c r="Q145" s="54"/>
      <c r="W145" s="54"/>
    </row>
    <row r="146" spans="1:23" s="3" customFormat="1" ht="87.75" customHeight="1">
      <c r="A146" s="9"/>
      <c r="B146" s="9"/>
      <c r="C146" s="9"/>
      <c r="D146" s="93" t="s">
        <v>236</v>
      </c>
      <c r="E146" s="27">
        <f>E145</f>
        <v>16018897</v>
      </c>
      <c r="F146" s="27">
        <f>F145</f>
        <v>16018897</v>
      </c>
      <c r="G146" s="27"/>
      <c r="H146" s="27"/>
      <c r="I146" s="27"/>
      <c r="J146" s="27">
        <f t="shared" si="17"/>
        <v>0</v>
      </c>
      <c r="K146" s="27">
        <f>K145</f>
        <v>0</v>
      </c>
      <c r="L146" s="27"/>
      <c r="M146" s="27"/>
      <c r="N146" s="27"/>
      <c r="O146" s="27"/>
      <c r="P146" s="26">
        <f t="shared" si="16"/>
        <v>16018897</v>
      </c>
      <c r="Q146" s="54"/>
      <c r="W146" s="54"/>
    </row>
    <row r="147" spans="1:23" s="3" customFormat="1" ht="155.25" customHeight="1">
      <c r="A147" s="9"/>
      <c r="B147" s="9" t="s">
        <v>315</v>
      </c>
      <c r="C147" s="9" t="s">
        <v>27</v>
      </c>
      <c r="D147" s="15" t="s">
        <v>232</v>
      </c>
      <c r="E147" s="27">
        <f>F147</f>
        <v>36865</v>
      </c>
      <c r="F147" s="27">
        <v>36865</v>
      </c>
      <c r="G147" s="27"/>
      <c r="H147" s="27"/>
      <c r="I147" s="27"/>
      <c r="J147" s="27">
        <f t="shared" si="17"/>
        <v>0</v>
      </c>
      <c r="K147" s="27"/>
      <c r="L147" s="27"/>
      <c r="M147" s="27"/>
      <c r="N147" s="27"/>
      <c r="O147" s="27"/>
      <c r="P147" s="26">
        <f t="shared" si="16"/>
        <v>36865</v>
      </c>
      <c r="Q147" s="54"/>
      <c r="W147" s="54"/>
    </row>
    <row r="148" spans="1:23" s="3" customFormat="1" ht="57.75" customHeight="1">
      <c r="A148" s="9"/>
      <c r="B148" s="9"/>
      <c r="C148" s="9"/>
      <c r="D148" s="93" t="s">
        <v>111</v>
      </c>
      <c r="E148" s="27">
        <f>E147</f>
        <v>36865</v>
      </c>
      <c r="F148" s="27">
        <f>F147</f>
        <v>36865</v>
      </c>
      <c r="G148" s="27"/>
      <c r="H148" s="27"/>
      <c r="I148" s="27"/>
      <c r="J148" s="27">
        <f t="shared" si="17"/>
        <v>0</v>
      </c>
      <c r="K148" s="27"/>
      <c r="L148" s="27"/>
      <c r="M148" s="27"/>
      <c r="N148" s="27"/>
      <c r="O148" s="27"/>
      <c r="P148" s="26">
        <f t="shared" si="16"/>
        <v>36865</v>
      </c>
      <c r="Q148" s="54"/>
      <c r="W148" s="54"/>
    </row>
    <row r="149" spans="1:23" s="3" customFormat="1" ht="24.75" customHeight="1">
      <c r="A149" s="9"/>
      <c r="B149" s="9" t="s">
        <v>310</v>
      </c>
      <c r="C149" s="9" t="s">
        <v>13</v>
      </c>
      <c r="D149" s="15" t="s">
        <v>104</v>
      </c>
      <c r="E149" s="27">
        <f>F149</f>
        <v>6830183</v>
      </c>
      <c r="F149" s="27">
        <v>6830183</v>
      </c>
      <c r="G149" s="27"/>
      <c r="H149" s="27"/>
      <c r="I149" s="27"/>
      <c r="J149" s="27">
        <f t="shared" si="17"/>
        <v>0</v>
      </c>
      <c r="K149" s="27"/>
      <c r="L149" s="27"/>
      <c r="M149" s="27"/>
      <c r="N149" s="27"/>
      <c r="O149" s="27"/>
      <c r="P149" s="26">
        <f t="shared" si="16"/>
        <v>6830183</v>
      </c>
      <c r="Q149" s="54"/>
      <c r="W149" s="54"/>
    </row>
    <row r="150" spans="1:23" s="3" customFormat="1" ht="75.75" customHeight="1">
      <c r="A150" s="9"/>
      <c r="B150" s="9"/>
      <c r="C150" s="9"/>
      <c r="D150" s="93" t="s">
        <v>432</v>
      </c>
      <c r="E150" s="27">
        <f>E149</f>
        <v>6830183</v>
      </c>
      <c r="F150" s="27">
        <f>F149</f>
        <v>6830183</v>
      </c>
      <c r="G150" s="27"/>
      <c r="H150" s="27"/>
      <c r="I150" s="27"/>
      <c r="J150" s="27"/>
      <c r="K150" s="27"/>
      <c r="L150" s="27"/>
      <c r="M150" s="27"/>
      <c r="N150" s="27"/>
      <c r="O150" s="27"/>
      <c r="P150" s="26">
        <f t="shared" si="16"/>
        <v>6830183</v>
      </c>
      <c r="Q150" s="54"/>
      <c r="W150" s="54"/>
    </row>
    <row r="151" spans="1:23" s="3" customFormat="1" ht="27" customHeight="1">
      <c r="A151" s="9"/>
      <c r="B151" s="9" t="s">
        <v>311</v>
      </c>
      <c r="C151" s="9" t="s">
        <v>13</v>
      </c>
      <c r="D151" s="15" t="s">
        <v>433</v>
      </c>
      <c r="E151" s="27">
        <f>F151</f>
        <v>7200000</v>
      </c>
      <c r="F151" s="27">
        <v>7200000</v>
      </c>
      <c r="G151" s="27"/>
      <c r="H151" s="27"/>
      <c r="I151" s="27"/>
      <c r="J151" s="27">
        <f>K151+N151</f>
        <v>0</v>
      </c>
      <c r="K151" s="27"/>
      <c r="L151" s="27"/>
      <c r="M151" s="27"/>
      <c r="N151" s="27"/>
      <c r="O151" s="27"/>
      <c r="P151" s="26">
        <f t="shared" si="16"/>
        <v>7200000</v>
      </c>
      <c r="Q151" s="54"/>
      <c r="W151" s="54"/>
    </row>
    <row r="152" spans="1:23" s="3" customFormat="1" ht="84" customHeight="1">
      <c r="A152" s="9"/>
      <c r="B152" s="9"/>
      <c r="C152" s="9"/>
      <c r="D152" s="93" t="s">
        <v>432</v>
      </c>
      <c r="E152" s="27">
        <f>E151</f>
        <v>7200000</v>
      </c>
      <c r="F152" s="27">
        <f>F151</f>
        <v>7200000</v>
      </c>
      <c r="G152" s="27"/>
      <c r="H152" s="27"/>
      <c r="I152" s="27"/>
      <c r="J152" s="27"/>
      <c r="K152" s="27"/>
      <c r="L152" s="27"/>
      <c r="M152" s="27"/>
      <c r="N152" s="27"/>
      <c r="O152" s="27"/>
      <c r="P152" s="26">
        <f t="shared" si="16"/>
        <v>7200000</v>
      </c>
      <c r="Q152" s="54"/>
      <c r="W152" s="54"/>
    </row>
    <row r="153" spans="1:23" s="3" customFormat="1" ht="16.5" customHeight="1">
      <c r="A153" s="9"/>
      <c r="B153" s="9" t="s">
        <v>312</v>
      </c>
      <c r="C153" s="9" t="s">
        <v>13</v>
      </c>
      <c r="D153" s="15" t="s">
        <v>332</v>
      </c>
      <c r="E153" s="27">
        <f>F153</f>
        <v>320600562</v>
      </c>
      <c r="F153" s="27">
        <v>320600562</v>
      </c>
      <c r="G153" s="27"/>
      <c r="H153" s="27"/>
      <c r="I153" s="27"/>
      <c r="J153" s="27">
        <f>K153+N153</f>
        <v>0</v>
      </c>
      <c r="K153" s="27"/>
      <c r="L153" s="27"/>
      <c r="M153" s="27"/>
      <c r="N153" s="27"/>
      <c r="O153" s="27"/>
      <c r="P153" s="26">
        <f t="shared" si="16"/>
        <v>320600562</v>
      </c>
      <c r="Q153" s="54"/>
      <c r="W153" s="54"/>
    </row>
    <row r="154" spans="1:23" s="3" customFormat="1" ht="59.25" customHeight="1">
      <c r="A154" s="9"/>
      <c r="B154" s="9"/>
      <c r="C154" s="9"/>
      <c r="D154" s="93" t="s">
        <v>432</v>
      </c>
      <c r="E154" s="27">
        <f>E153</f>
        <v>320600562</v>
      </c>
      <c r="F154" s="27">
        <f>F153</f>
        <v>320600562</v>
      </c>
      <c r="G154" s="27"/>
      <c r="H154" s="27"/>
      <c r="I154" s="27"/>
      <c r="J154" s="27"/>
      <c r="K154" s="27"/>
      <c r="L154" s="27"/>
      <c r="M154" s="27"/>
      <c r="N154" s="27"/>
      <c r="O154" s="27"/>
      <c r="P154" s="26">
        <f t="shared" si="16"/>
        <v>320600562</v>
      </c>
      <c r="Q154" s="54"/>
      <c r="W154" s="54"/>
    </row>
    <row r="155" spans="1:23" s="3" customFormat="1" ht="28.5" customHeight="1">
      <c r="A155" s="9"/>
      <c r="B155" s="9" t="s">
        <v>298</v>
      </c>
      <c r="C155" s="9" t="s">
        <v>13</v>
      </c>
      <c r="D155" s="68" t="s">
        <v>399</v>
      </c>
      <c r="E155" s="27">
        <f>F155</f>
        <v>25038520</v>
      </c>
      <c r="F155" s="27">
        <v>25038520</v>
      </c>
      <c r="G155" s="27"/>
      <c r="H155" s="27"/>
      <c r="I155" s="27"/>
      <c r="J155" s="27">
        <f>K155+N155</f>
        <v>0</v>
      </c>
      <c r="K155" s="27"/>
      <c r="L155" s="27"/>
      <c r="M155" s="27"/>
      <c r="N155" s="27"/>
      <c r="O155" s="27"/>
      <c r="P155" s="26">
        <f t="shared" si="16"/>
        <v>25038520</v>
      </c>
      <c r="Q155" s="54"/>
      <c r="W155" s="54"/>
    </row>
    <row r="156" spans="1:23" s="3" customFormat="1" ht="57.75" customHeight="1">
      <c r="A156" s="9"/>
      <c r="B156" s="9"/>
      <c r="C156" s="9"/>
      <c r="D156" s="93" t="s">
        <v>432</v>
      </c>
      <c r="E156" s="27">
        <f>E155</f>
        <v>25038520</v>
      </c>
      <c r="F156" s="27">
        <f>F155</f>
        <v>25038520</v>
      </c>
      <c r="G156" s="27"/>
      <c r="H156" s="27"/>
      <c r="I156" s="27"/>
      <c r="J156" s="27"/>
      <c r="K156" s="27"/>
      <c r="L156" s="27"/>
      <c r="M156" s="27"/>
      <c r="N156" s="27"/>
      <c r="O156" s="27"/>
      <c r="P156" s="26">
        <f t="shared" si="16"/>
        <v>25038520</v>
      </c>
      <c r="Q156" s="54"/>
      <c r="W156" s="54"/>
    </row>
    <row r="157" spans="1:23" s="3" customFormat="1" ht="27.75" customHeight="1">
      <c r="A157" s="9"/>
      <c r="B157" s="9" t="s">
        <v>335</v>
      </c>
      <c r="C157" s="9" t="s">
        <v>13</v>
      </c>
      <c r="D157" s="15" t="s">
        <v>329</v>
      </c>
      <c r="E157" s="27">
        <f>F157</f>
        <v>63713076</v>
      </c>
      <c r="F157" s="27">
        <v>63713076</v>
      </c>
      <c r="G157" s="27"/>
      <c r="H157" s="27"/>
      <c r="I157" s="27"/>
      <c r="J157" s="27">
        <f>K157+N157</f>
        <v>0</v>
      </c>
      <c r="K157" s="27"/>
      <c r="L157" s="27"/>
      <c r="M157" s="27"/>
      <c r="N157" s="27"/>
      <c r="O157" s="27"/>
      <c r="P157" s="26">
        <f t="shared" si="16"/>
        <v>63713076</v>
      </c>
      <c r="Q157" s="54"/>
      <c r="W157" s="54"/>
    </row>
    <row r="158" spans="1:23" s="3" customFormat="1" ht="59.25" customHeight="1">
      <c r="A158" s="9"/>
      <c r="B158" s="9"/>
      <c r="C158" s="9"/>
      <c r="D158" s="93" t="s">
        <v>432</v>
      </c>
      <c r="E158" s="27">
        <f>E157</f>
        <v>63713076</v>
      </c>
      <c r="F158" s="27">
        <f>F157</f>
        <v>63713076</v>
      </c>
      <c r="G158" s="27"/>
      <c r="H158" s="27"/>
      <c r="I158" s="27"/>
      <c r="J158" s="27"/>
      <c r="K158" s="27"/>
      <c r="L158" s="27"/>
      <c r="M158" s="27"/>
      <c r="N158" s="27"/>
      <c r="O158" s="27"/>
      <c r="P158" s="26">
        <f t="shared" si="16"/>
        <v>63713076</v>
      </c>
      <c r="Q158" s="54"/>
      <c r="W158" s="54"/>
    </row>
    <row r="159" spans="1:23" s="3" customFormat="1" ht="25.5" customHeight="1">
      <c r="A159" s="9"/>
      <c r="B159" s="9" t="s">
        <v>80</v>
      </c>
      <c r="C159" s="9" t="s">
        <v>13</v>
      </c>
      <c r="D159" s="15" t="s">
        <v>81</v>
      </c>
      <c r="E159" s="27">
        <f>F159</f>
        <v>9695907</v>
      </c>
      <c r="F159" s="27">
        <v>9695907</v>
      </c>
      <c r="G159" s="27"/>
      <c r="H159" s="27"/>
      <c r="I159" s="27"/>
      <c r="J159" s="27"/>
      <c r="K159" s="27"/>
      <c r="L159" s="27"/>
      <c r="M159" s="27"/>
      <c r="N159" s="27"/>
      <c r="O159" s="27"/>
      <c r="P159" s="26">
        <f t="shared" si="16"/>
        <v>9695907</v>
      </c>
      <c r="Q159" s="54"/>
      <c r="W159" s="54"/>
    </row>
    <row r="160" spans="1:23" ht="83.25" customHeight="1">
      <c r="A160" s="9"/>
      <c r="B160" s="9"/>
      <c r="C160" s="9"/>
      <c r="D160" s="93" t="s">
        <v>432</v>
      </c>
      <c r="E160" s="27">
        <f>E159</f>
        <v>9695907</v>
      </c>
      <c r="F160" s="27">
        <f>F159</f>
        <v>9695907</v>
      </c>
      <c r="G160" s="27"/>
      <c r="H160" s="27"/>
      <c r="I160" s="27"/>
      <c r="J160" s="27"/>
      <c r="K160" s="27"/>
      <c r="L160" s="27"/>
      <c r="M160" s="27"/>
      <c r="N160" s="27"/>
      <c r="O160" s="27"/>
      <c r="P160" s="26">
        <f t="shared" si="16"/>
        <v>9695907</v>
      </c>
      <c r="Q160" s="54"/>
      <c r="R160" s="60"/>
      <c r="W160" s="54"/>
    </row>
    <row r="161" spans="1:23" ht="12.75">
      <c r="A161" s="9"/>
      <c r="B161" s="9" t="s">
        <v>400</v>
      </c>
      <c r="C161" s="9" t="s">
        <v>13</v>
      </c>
      <c r="D161" s="15" t="s">
        <v>401</v>
      </c>
      <c r="E161" s="27">
        <f>F161</f>
        <v>1001040</v>
      </c>
      <c r="F161" s="27">
        <v>1001040</v>
      </c>
      <c r="G161" s="27"/>
      <c r="H161" s="27"/>
      <c r="I161" s="27"/>
      <c r="J161" s="27"/>
      <c r="K161" s="27"/>
      <c r="L161" s="27"/>
      <c r="M161" s="27"/>
      <c r="N161" s="27"/>
      <c r="O161" s="27"/>
      <c r="P161" s="26">
        <f t="shared" si="16"/>
        <v>1001040</v>
      </c>
      <c r="Q161" s="54"/>
      <c r="R161" s="60"/>
      <c r="W161" s="54"/>
    </row>
    <row r="162" spans="1:23" s="3" customFormat="1" ht="81.75" customHeight="1">
      <c r="A162" s="9"/>
      <c r="B162" s="9"/>
      <c r="C162" s="9"/>
      <c r="D162" s="93" t="s">
        <v>432</v>
      </c>
      <c r="E162" s="27">
        <f>E161</f>
        <v>1001040</v>
      </c>
      <c r="F162" s="27">
        <f>F161</f>
        <v>1001040</v>
      </c>
      <c r="G162" s="27"/>
      <c r="H162" s="27"/>
      <c r="I162" s="27"/>
      <c r="J162" s="27"/>
      <c r="K162" s="27"/>
      <c r="L162" s="27"/>
      <c r="M162" s="27"/>
      <c r="N162" s="27"/>
      <c r="O162" s="27"/>
      <c r="P162" s="26">
        <f t="shared" si="16"/>
        <v>1001040</v>
      </c>
      <c r="Q162" s="54"/>
      <c r="W162" s="54"/>
    </row>
    <row r="163" spans="1:23" s="3" customFormat="1" ht="28.5" customHeight="1">
      <c r="A163" s="9"/>
      <c r="B163" s="9" t="s">
        <v>330</v>
      </c>
      <c r="C163" s="9" t="s">
        <v>13</v>
      </c>
      <c r="D163" s="15" t="s">
        <v>54</v>
      </c>
      <c r="E163" s="27">
        <f>F163</f>
        <v>28738150</v>
      </c>
      <c r="F163" s="27">
        <v>28738150</v>
      </c>
      <c r="G163" s="27"/>
      <c r="H163" s="27"/>
      <c r="I163" s="27"/>
      <c r="J163" s="27">
        <f>K163+N163</f>
        <v>0</v>
      </c>
      <c r="K163" s="27"/>
      <c r="L163" s="27"/>
      <c r="M163" s="27"/>
      <c r="N163" s="27"/>
      <c r="O163" s="27"/>
      <c r="P163" s="26">
        <f t="shared" si="16"/>
        <v>28738150</v>
      </c>
      <c r="Q163" s="54"/>
      <c r="W163" s="54"/>
    </row>
    <row r="164" spans="1:23" ht="83.25" customHeight="1">
      <c r="A164" s="9"/>
      <c r="B164" s="9"/>
      <c r="C164" s="9"/>
      <c r="D164" s="93" t="s">
        <v>432</v>
      </c>
      <c r="E164" s="27">
        <f>E163</f>
        <v>28738150</v>
      </c>
      <c r="F164" s="27">
        <f>F163</f>
        <v>28738150</v>
      </c>
      <c r="G164" s="27"/>
      <c r="H164" s="27"/>
      <c r="I164" s="27"/>
      <c r="J164" s="27"/>
      <c r="K164" s="27"/>
      <c r="L164" s="27"/>
      <c r="M164" s="27"/>
      <c r="N164" s="27"/>
      <c r="O164" s="27"/>
      <c r="P164" s="26">
        <f t="shared" si="16"/>
        <v>28738150</v>
      </c>
      <c r="Q164" s="54"/>
      <c r="R164" s="60"/>
      <c r="W164" s="54"/>
    </row>
    <row r="165" spans="1:23" ht="38.25">
      <c r="A165" s="9"/>
      <c r="B165" s="9" t="s">
        <v>299</v>
      </c>
      <c r="C165" s="9" t="s">
        <v>18</v>
      </c>
      <c r="D165" s="68" t="s">
        <v>396</v>
      </c>
      <c r="E165" s="27">
        <f>F165</f>
        <v>137751002</v>
      </c>
      <c r="F165" s="27">
        <f>58815153+78935849</f>
        <v>137751002</v>
      </c>
      <c r="G165" s="27"/>
      <c r="H165" s="27"/>
      <c r="I165" s="27"/>
      <c r="J165" s="27">
        <f>K165+N165</f>
        <v>0</v>
      </c>
      <c r="K165" s="27"/>
      <c r="L165" s="27"/>
      <c r="M165" s="27"/>
      <c r="N165" s="27"/>
      <c r="O165" s="27"/>
      <c r="P165" s="26">
        <f aca="true" t="shared" si="18" ref="P165:P202">E165+J165</f>
        <v>137751002</v>
      </c>
      <c r="Q165" s="54"/>
      <c r="R165" s="60"/>
      <c r="W165" s="54"/>
    </row>
    <row r="166" spans="1:23" ht="89.25" customHeight="1">
      <c r="A166" s="9"/>
      <c r="B166" s="9"/>
      <c r="C166" s="9"/>
      <c r="D166" s="93" t="s">
        <v>236</v>
      </c>
      <c r="E166" s="27">
        <f>E165</f>
        <v>137751002</v>
      </c>
      <c r="F166" s="27">
        <f>F165</f>
        <v>137751002</v>
      </c>
      <c r="G166" s="27"/>
      <c r="H166" s="27"/>
      <c r="I166" s="27"/>
      <c r="J166" s="27">
        <f>K166+N166</f>
        <v>0</v>
      </c>
      <c r="K166" s="27">
        <f>K165</f>
        <v>0</v>
      </c>
      <c r="L166" s="27"/>
      <c r="M166" s="27"/>
      <c r="N166" s="27"/>
      <c r="O166" s="27"/>
      <c r="P166" s="26">
        <f t="shared" si="18"/>
        <v>137751002</v>
      </c>
      <c r="Q166" s="54"/>
      <c r="R166" s="60"/>
      <c r="W166" s="54"/>
    </row>
    <row r="167" spans="1:23" ht="64.5" customHeight="1">
      <c r="A167" s="9"/>
      <c r="B167" s="9" t="s">
        <v>397</v>
      </c>
      <c r="C167" s="9" t="s">
        <v>18</v>
      </c>
      <c r="D167" s="4" t="s">
        <v>398</v>
      </c>
      <c r="E167" s="27">
        <f>F167</f>
        <v>158920</v>
      </c>
      <c r="F167" s="27">
        <f>105645+53275</f>
        <v>158920</v>
      </c>
      <c r="G167" s="27"/>
      <c r="H167" s="27"/>
      <c r="I167" s="27"/>
      <c r="J167" s="27">
        <f>K167+N167</f>
        <v>0</v>
      </c>
      <c r="K167" s="27"/>
      <c r="L167" s="27"/>
      <c r="M167" s="27"/>
      <c r="N167" s="27"/>
      <c r="O167" s="27"/>
      <c r="P167" s="26">
        <f t="shared" si="18"/>
        <v>158920</v>
      </c>
      <c r="Q167" s="54"/>
      <c r="R167" s="60"/>
      <c r="W167" s="54"/>
    </row>
    <row r="168" spans="1:23" s="3" customFormat="1" ht="61.5" customHeight="1">
      <c r="A168" s="9"/>
      <c r="B168" s="9"/>
      <c r="C168" s="9"/>
      <c r="D168" s="93" t="s">
        <v>111</v>
      </c>
      <c r="E168" s="27">
        <f>E167</f>
        <v>158920</v>
      </c>
      <c r="F168" s="27">
        <f>F167</f>
        <v>158920</v>
      </c>
      <c r="G168" s="27"/>
      <c r="H168" s="27"/>
      <c r="I168" s="27"/>
      <c r="J168" s="27">
        <f>K168+N168</f>
        <v>0</v>
      </c>
      <c r="K168" s="27">
        <f>K167</f>
        <v>0</v>
      </c>
      <c r="L168" s="27"/>
      <c r="M168" s="27"/>
      <c r="N168" s="27"/>
      <c r="O168" s="27"/>
      <c r="P168" s="26">
        <f t="shared" si="18"/>
        <v>158920</v>
      </c>
      <c r="Q168" s="54"/>
      <c r="W168" s="54"/>
    </row>
    <row r="169" spans="1:23" s="3" customFormat="1" ht="44.25" customHeight="1">
      <c r="A169" s="9"/>
      <c r="B169" s="9" t="s">
        <v>385</v>
      </c>
      <c r="C169" s="9" t="s">
        <v>18</v>
      </c>
      <c r="D169" s="93" t="s">
        <v>386</v>
      </c>
      <c r="E169" s="27">
        <f>F169</f>
        <v>5409580</v>
      </c>
      <c r="F169" s="27">
        <f>15409580-10000000</f>
        <v>5409580</v>
      </c>
      <c r="G169" s="27"/>
      <c r="H169" s="27"/>
      <c r="I169" s="27"/>
      <c r="J169" s="27"/>
      <c r="K169" s="27"/>
      <c r="L169" s="27"/>
      <c r="M169" s="27"/>
      <c r="N169" s="27"/>
      <c r="O169" s="27"/>
      <c r="P169" s="26">
        <f t="shared" si="18"/>
        <v>5409580</v>
      </c>
      <c r="Q169" s="54"/>
      <c r="W169" s="54"/>
    </row>
    <row r="170" spans="1:23" s="3" customFormat="1" ht="57.75" customHeight="1">
      <c r="A170" s="9"/>
      <c r="B170" s="9"/>
      <c r="C170" s="9"/>
      <c r="D170" s="93" t="s">
        <v>111</v>
      </c>
      <c r="E170" s="27">
        <f>E169</f>
        <v>5409580</v>
      </c>
      <c r="F170" s="27">
        <f>F169</f>
        <v>5409580</v>
      </c>
      <c r="G170" s="27"/>
      <c r="H170" s="27"/>
      <c r="I170" s="27"/>
      <c r="J170" s="27"/>
      <c r="K170" s="27"/>
      <c r="L170" s="27"/>
      <c r="M170" s="27"/>
      <c r="N170" s="27"/>
      <c r="O170" s="27"/>
      <c r="P170" s="26">
        <f t="shared" si="18"/>
        <v>5409580</v>
      </c>
      <c r="Q170" s="54"/>
      <c r="W170" s="54"/>
    </row>
    <row r="171" spans="1:23" s="3" customFormat="1" ht="29.25" customHeight="1">
      <c r="A171" s="40"/>
      <c r="B171" s="40" t="s">
        <v>271</v>
      </c>
      <c r="C171" s="76" t="s">
        <v>28</v>
      </c>
      <c r="D171" s="36" t="s">
        <v>331</v>
      </c>
      <c r="E171" s="38">
        <f>F171</f>
        <v>16699790</v>
      </c>
      <c r="F171" s="38">
        <f>7985800+(4500000)+906000+923608+46620-(225300)+(20000)-(14000)+1072503+(142880)+(109212)+(10000)+(26944)+(17000)+1072503+106020</f>
        <v>16699790</v>
      </c>
      <c r="G171" s="38"/>
      <c r="H171" s="38"/>
      <c r="I171" s="38"/>
      <c r="J171" s="38">
        <f>K171+N171</f>
        <v>0</v>
      </c>
      <c r="K171" s="38"/>
      <c r="L171" s="38"/>
      <c r="M171" s="38"/>
      <c r="N171" s="38"/>
      <c r="O171" s="38"/>
      <c r="P171" s="56">
        <f t="shared" si="18"/>
        <v>16699790</v>
      </c>
      <c r="Q171" s="54"/>
      <c r="W171" s="54"/>
    </row>
    <row r="172" spans="1:23" ht="25.5" hidden="1">
      <c r="A172" s="40"/>
      <c r="B172" s="40"/>
      <c r="C172" s="40"/>
      <c r="D172" s="70" t="s">
        <v>92</v>
      </c>
      <c r="E172" s="38"/>
      <c r="F172" s="38"/>
      <c r="G172" s="38"/>
      <c r="H172" s="38"/>
      <c r="I172" s="38"/>
      <c r="J172" s="38"/>
      <c r="K172" s="38"/>
      <c r="L172" s="38"/>
      <c r="M172" s="38"/>
      <c r="N172" s="38"/>
      <c r="O172" s="38"/>
      <c r="P172" s="56">
        <f t="shared" si="18"/>
        <v>0</v>
      </c>
      <c r="Q172" s="54"/>
      <c r="R172" s="60"/>
      <c r="W172" s="54"/>
    </row>
    <row r="173" spans="1:23" ht="40.5" customHeight="1">
      <c r="A173" s="40"/>
      <c r="B173" s="76" t="s">
        <v>439</v>
      </c>
      <c r="C173" s="76" t="s">
        <v>29</v>
      </c>
      <c r="D173" s="70" t="s">
        <v>440</v>
      </c>
      <c r="E173" s="38">
        <f>F173</f>
        <v>5910640</v>
      </c>
      <c r="F173" s="38">
        <v>5910640</v>
      </c>
      <c r="G173" s="38"/>
      <c r="H173" s="38"/>
      <c r="I173" s="38"/>
      <c r="J173" s="38"/>
      <c r="K173" s="38"/>
      <c r="L173" s="38"/>
      <c r="M173" s="38"/>
      <c r="N173" s="38"/>
      <c r="O173" s="38"/>
      <c r="P173" s="56">
        <f t="shared" si="18"/>
        <v>5910640</v>
      </c>
      <c r="Q173" s="54"/>
      <c r="R173" s="60"/>
      <c r="W173" s="54"/>
    </row>
    <row r="174" spans="1:23" ht="78" customHeight="1">
      <c r="A174" s="40"/>
      <c r="B174" s="76"/>
      <c r="C174" s="40"/>
      <c r="D174" s="93" t="s">
        <v>432</v>
      </c>
      <c r="E174" s="38">
        <f>F174</f>
        <v>5910640</v>
      </c>
      <c r="F174" s="38">
        <f>F173</f>
        <v>5910640</v>
      </c>
      <c r="G174" s="38"/>
      <c r="H174" s="38"/>
      <c r="I174" s="38"/>
      <c r="J174" s="38"/>
      <c r="K174" s="38"/>
      <c r="L174" s="38"/>
      <c r="M174" s="38"/>
      <c r="N174" s="38"/>
      <c r="O174" s="38"/>
      <c r="P174" s="56">
        <f t="shared" si="18"/>
        <v>5910640</v>
      </c>
      <c r="Q174" s="54"/>
      <c r="R174" s="60"/>
      <c r="W174" s="54"/>
    </row>
    <row r="175" spans="1:23" ht="76.5">
      <c r="A175" s="9"/>
      <c r="B175" s="9" t="s">
        <v>59</v>
      </c>
      <c r="C175" s="9" t="s">
        <v>18</v>
      </c>
      <c r="D175" s="4" t="s">
        <v>313</v>
      </c>
      <c r="E175" s="27">
        <f>F175</f>
        <v>18746</v>
      </c>
      <c r="F175" s="27">
        <f>72021-53275</f>
        <v>18746</v>
      </c>
      <c r="G175" s="27"/>
      <c r="H175" s="27"/>
      <c r="I175" s="27"/>
      <c r="J175" s="27"/>
      <c r="K175" s="27"/>
      <c r="L175" s="27"/>
      <c r="M175" s="27"/>
      <c r="N175" s="27"/>
      <c r="O175" s="27"/>
      <c r="P175" s="26">
        <f t="shared" si="18"/>
        <v>18746</v>
      </c>
      <c r="Q175" s="54"/>
      <c r="R175" s="60"/>
      <c r="W175" s="54"/>
    </row>
    <row r="176" spans="1:23" ht="58.5" customHeight="1">
      <c r="A176" s="9"/>
      <c r="B176" s="9"/>
      <c r="C176" s="9"/>
      <c r="D176" s="93" t="s">
        <v>111</v>
      </c>
      <c r="E176" s="27">
        <f>E175</f>
        <v>18746</v>
      </c>
      <c r="F176" s="27">
        <f>F175</f>
        <v>18746</v>
      </c>
      <c r="G176" s="27"/>
      <c r="H176" s="27"/>
      <c r="I176" s="27"/>
      <c r="J176" s="27">
        <f aca="true" t="shared" si="19" ref="J176:J181">K176+N176</f>
        <v>0</v>
      </c>
      <c r="K176" s="27"/>
      <c r="L176" s="27"/>
      <c r="M176" s="27"/>
      <c r="N176" s="27"/>
      <c r="O176" s="27"/>
      <c r="P176" s="26">
        <f t="shared" si="18"/>
        <v>18746</v>
      </c>
      <c r="Q176" s="54"/>
      <c r="R176" s="60"/>
      <c r="W176" s="54"/>
    </row>
    <row r="177" spans="1:23" ht="25.5">
      <c r="A177" s="9"/>
      <c r="B177" s="9" t="s">
        <v>343</v>
      </c>
      <c r="C177" s="9" t="s">
        <v>13</v>
      </c>
      <c r="D177" s="61" t="s">
        <v>65</v>
      </c>
      <c r="E177" s="27">
        <f>F177</f>
        <v>2116634</v>
      </c>
      <c r="F177" s="27">
        <f>2089000+1368+24600+1666</f>
        <v>2116634</v>
      </c>
      <c r="G177" s="27">
        <f>1336585+18000</f>
        <v>1354585</v>
      </c>
      <c r="H177" s="27">
        <f>137470+1666</f>
        <v>139136</v>
      </c>
      <c r="I177" s="27"/>
      <c r="J177" s="27">
        <f t="shared" si="19"/>
        <v>0</v>
      </c>
      <c r="K177" s="27"/>
      <c r="L177" s="27"/>
      <c r="M177" s="27"/>
      <c r="N177" s="27">
        <f>O177</f>
        <v>0</v>
      </c>
      <c r="O177" s="27"/>
      <c r="P177" s="26">
        <f t="shared" si="18"/>
        <v>2116634</v>
      </c>
      <c r="Q177" s="54"/>
      <c r="R177" s="60"/>
      <c r="W177" s="54"/>
    </row>
    <row r="178" spans="1:23" ht="25.5">
      <c r="A178" s="9"/>
      <c r="B178" s="9" t="s">
        <v>344</v>
      </c>
      <c r="C178" s="9" t="s">
        <v>13</v>
      </c>
      <c r="D178" s="61" t="s">
        <v>71</v>
      </c>
      <c r="E178" s="27">
        <f>F178</f>
        <v>175106</v>
      </c>
      <c r="F178" s="27">
        <f>140450+34656</f>
        <v>175106</v>
      </c>
      <c r="G178" s="27">
        <f>94097+20418</f>
        <v>114515</v>
      </c>
      <c r="H178" s="27"/>
      <c r="I178" s="27"/>
      <c r="J178" s="27">
        <f t="shared" si="19"/>
        <v>0</v>
      </c>
      <c r="K178" s="27"/>
      <c r="L178" s="27"/>
      <c r="M178" s="27"/>
      <c r="N178" s="27"/>
      <c r="O178" s="27"/>
      <c r="P178" s="26">
        <f t="shared" si="18"/>
        <v>175106</v>
      </c>
      <c r="Q178" s="54"/>
      <c r="R178" s="60"/>
      <c r="W178" s="54"/>
    </row>
    <row r="179" spans="1:23" ht="25.5" hidden="1">
      <c r="A179" s="9"/>
      <c r="B179" s="9" t="s">
        <v>272</v>
      </c>
      <c r="C179" s="9"/>
      <c r="D179" s="61" t="s">
        <v>383</v>
      </c>
      <c r="E179" s="27"/>
      <c r="F179" s="27"/>
      <c r="G179" s="27"/>
      <c r="H179" s="27"/>
      <c r="I179" s="27"/>
      <c r="J179" s="27">
        <f t="shared" si="19"/>
        <v>0</v>
      </c>
      <c r="K179" s="27"/>
      <c r="L179" s="27"/>
      <c r="M179" s="27"/>
      <c r="N179" s="27"/>
      <c r="O179" s="27"/>
      <c r="P179" s="26">
        <f t="shared" si="18"/>
        <v>0</v>
      </c>
      <c r="Q179" s="54"/>
      <c r="R179" s="60"/>
      <c r="W179" s="54"/>
    </row>
    <row r="180" spans="1:23" ht="76.5" hidden="1">
      <c r="A180" s="40"/>
      <c r="B180" s="40" t="s">
        <v>357</v>
      </c>
      <c r="C180" s="40"/>
      <c r="D180" s="36" t="s">
        <v>79</v>
      </c>
      <c r="E180" s="38">
        <f>2988909-2988909</f>
        <v>0</v>
      </c>
      <c r="F180" s="38"/>
      <c r="G180" s="38"/>
      <c r="H180" s="38"/>
      <c r="I180" s="38"/>
      <c r="J180" s="38">
        <f t="shared" si="19"/>
        <v>0</v>
      </c>
      <c r="K180" s="38"/>
      <c r="L180" s="38"/>
      <c r="M180" s="38"/>
      <c r="N180" s="38"/>
      <c r="O180" s="38"/>
      <c r="P180" s="56">
        <f t="shared" si="18"/>
        <v>0</v>
      </c>
      <c r="Q180" s="54"/>
      <c r="R180" s="60"/>
      <c r="W180" s="54"/>
    </row>
    <row r="181" spans="1:23" ht="39" customHeight="1">
      <c r="A181" s="40"/>
      <c r="B181" s="40" t="s">
        <v>273</v>
      </c>
      <c r="C181" s="76" t="s">
        <v>30</v>
      </c>
      <c r="D181" s="70" t="s">
        <v>105</v>
      </c>
      <c r="E181" s="38">
        <f>F181</f>
        <v>19915654</v>
      </c>
      <c r="F181" s="38">
        <f>19251160+3994+425900+154600+(70000)+(10000)</f>
        <v>19915654</v>
      </c>
      <c r="G181" s="38">
        <f>11018522+425900</f>
        <v>11444422</v>
      </c>
      <c r="H181" s="38">
        <v>2087920</v>
      </c>
      <c r="I181" s="38"/>
      <c r="J181" s="38">
        <f t="shared" si="19"/>
        <v>1238779</v>
      </c>
      <c r="K181" s="38">
        <v>153971</v>
      </c>
      <c r="L181" s="38">
        <v>88808</v>
      </c>
      <c r="M181" s="38"/>
      <c r="N181" s="38">
        <f>O181</f>
        <v>1084808</v>
      </c>
      <c r="O181" s="78">
        <f>594079+(60000)+430729</f>
        <v>1084808</v>
      </c>
      <c r="P181" s="56">
        <f t="shared" si="18"/>
        <v>21154433</v>
      </c>
      <c r="Q181" s="54"/>
      <c r="R181" s="60"/>
      <c r="W181" s="54"/>
    </row>
    <row r="182" spans="1:23" ht="85.5" customHeight="1">
      <c r="A182" s="76"/>
      <c r="B182" s="76" t="s">
        <v>116</v>
      </c>
      <c r="C182" s="76" t="s">
        <v>29</v>
      </c>
      <c r="D182" s="70" t="s">
        <v>108</v>
      </c>
      <c r="E182" s="38">
        <f>F182</f>
        <v>2655925</v>
      </c>
      <c r="F182" s="38">
        <v>2655925</v>
      </c>
      <c r="G182" s="38"/>
      <c r="H182" s="38"/>
      <c r="I182" s="38"/>
      <c r="J182" s="38"/>
      <c r="K182" s="38"/>
      <c r="L182" s="38"/>
      <c r="M182" s="38"/>
      <c r="N182" s="38"/>
      <c r="O182" s="38"/>
      <c r="P182" s="56">
        <f t="shared" si="18"/>
        <v>2655925</v>
      </c>
      <c r="Q182" s="54"/>
      <c r="R182" s="60"/>
      <c r="W182" s="54"/>
    </row>
    <row r="183" spans="1:23" ht="25.5" customHeight="1">
      <c r="A183" s="40"/>
      <c r="B183" s="40" t="s">
        <v>320</v>
      </c>
      <c r="C183" s="76" t="s">
        <v>26</v>
      </c>
      <c r="D183" s="92" t="s">
        <v>106</v>
      </c>
      <c r="E183" s="38">
        <f>F183</f>
        <v>1088380</v>
      </c>
      <c r="F183" s="38">
        <f>1085000-46620+(100000)-(50000)</f>
        <v>1088380</v>
      </c>
      <c r="G183" s="38"/>
      <c r="H183" s="38"/>
      <c r="I183" s="38"/>
      <c r="J183" s="38">
        <f>K183+N183</f>
        <v>0</v>
      </c>
      <c r="K183" s="38"/>
      <c r="L183" s="38"/>
      <c r="M183" s="38"/>
      <c r="N183" s="38">
        <f>O183</f>
        <v>0</v>
      </c>
      <c r="O183" s="38">
        <f>(40000)-(40000)</f>
        <v>0</v>
      </c>
      <c r="P183" s="56">
        <f t="shared" si="18"/>
        <v>1088380</v>
      </c>
      <c r="Q183" s="54"/>
      <c r="R183" s="60"/>
      <c r="W183" s="54"/>
    </row>
    <row r="184" spans="1:23" ht="42.75" customHeight="1">
      <c r="A184" s="9"/>
      <c r="B184" s="9" t="s">
        <v>307</v>
      </c>
      <c r="C184" s="9" t="s">
        <v>29</v>
      </c>
      <c r="D184" s="15" t="s">
        <v>318</v>
      </c>
      <c r="E184" s="27">
        <f>F184</f>
        <v>85831042</v>
      </c>
      <c r="F184" s="27">
        <v>85831042</v>
      </c>
      <c r="G184" s="27"/>
      <c r="H184" s="27"/>
      <c r="I184" s="27"/>
      <c r="J184" s="27">
        <f>K184+N184</f>
        <v>0</v>
      </c>
      <c r="K184" s="27"/>
      <c r="L184" s="27"/>
      <c r="M184" s="27"/>
      <c r="N184" s="27"/>
      <c r="O184" s="27"/>
      <c r="P184" s="26">
        <f t="shared" si="18"/>
        <v>85831042</v>
      </c>
      <c r="Q184" s="54"/>
      <c r="R184" s="60"/>
      <c r="W184" s="54"/>
    </row>
    <row r="185" spans="1:23" ht="78.75" customHeight="1">
      <c r="A185" s="9"/>
      <c r="B185" s="9"/>
      <c r="C185" s="9"/>
      <c r="D185" s="93" t="s">
        <v>432</v>
      </c>
      <c r="E185" s="27">
        <f>E184</f>
        <v>85831042</v>
      </c>
      <c r="F185" s="27">
        <f>F184</f>
        <v>85831042</v>
      </c>
      <c r="G185" s="27"/>
      <c r="H185" s="27"/>
      <c r="I185" s="27"/>
      <c r="J185" s="27"/>
      <c r="K185" s="27"/>
      <c r="L185" s="27"/>
      <c r="M185" s="27"/>
      <c r="N185" s="27"/>
      <c r="O185" s="27"/>
      <c r="P185" s="26">
        <f t="shared" si="18"/>
        <v>85831042</v>
      </c>
      <c r="Q185" s="54"/>
      <c r="R185" s="60"/>
      <c r="W185" s="54"/>
    </row>
    <row r="186" spans="1:23" ht="12.75">
      <c r="A186" s="40"/>
      <c r="B186" s="40" t="s">
        <v>367</v>
      </c>
      <c r="C186" s="40"/>
      <c r="D186" s="64" t="s">
        <v>282</v>
      </c>
      <c r="E186" s="38">
        <f>E187</f>
        <v>0</v>
      </c>
      <c r="F186" s="38"/>
      <c r="G186" s="38">
        <f>G187</f>
        <v>0</v>
      </c>
      <c r="H186" s="38">
        <f>H187</f>
        <v>0</v>
      </c>
      <c r="I186" s="38"/>
      <c r="J186" s="38">
        <f>K186+N186</f>
        <v>3809323</v>
      </c>
      <c r="K186" s="38">
        <f>K187</f>
        <v>0</v>
      </c>
      <c r="L186" s="38">
        <f>L187</f>
        <v>0</v>
      </c>
      <c r="M186" s="38">
        <f>M187</f>
        <v>0</v>
      </c>
      <c r="N186" s="38">
        <f>N187</f>
        <v>3809323</v>
      </c>
      <c r="O186" s="38">
        <f>O187</f>
        <v>3809323</v>
      </c>
      <c r="P186" s="56">
        <f t="shared" si="18"/>
        <v>3809323</v>
      </c>
      <c r="Q186" s="54"/>
      <c r="R186" s="60"/>
      <c r="W186" s="54"/>
    </row>
    <row r="187" spans="1:23" ht="12.75">
      <c r="A187" s="40"/>
      <c r="B187" s="40" t="s">
        <v>338</v>
      </c>
      <c r="C187" s="76" t="s">
        <v>6</v>
      </c>
      <c r="D187" s="64" t="s">
        <v>339</v>
      </c>
      <c r="E187" s="38"/>
      <c r="F187" s="38"/>
      <c r="G187" s="38"/>
      <c r="H187" s="38"/>
      <c r="I187" s="38"/>
      <c r="J187" s="38">
        <f>K187+N187</f>
        <v>3809323</v>
      </c>
      <c r="K187" s="38"/>
      <c r="L187" s="38"/>
      <c r="M187" s="38"/>
      <c r="N187" s="38">
        <f>O187</f>
        <v>3809323</v>
      </c>
      <c r="O187" s="78">
        <f>4240052-430729</f>
        <v>3809323</v>
      </c>
      <c r="P187" s="56">
        <f t="shared" si="18"/>
        <v>3809323</v>
      </c>
      <c r="Q187" s="54"/>
      <c r="R187" s="60"/>
      <c r="W187" s="54"/>
    </row>
    <row r="188" spans="1:23" ht="45" hidden="1">
      <c r="A188" s="40"/>
      <c r="B188" s="40"/>
      <c r="C188" s="40"/>
      <c r="D188" s="93" t="s">
        <v>234</v>
      </c>
      <c r="E188" s="38"/>
      <c r="F188" s="38"/>
      <c r="G188" s="38"/>
      <c r="H188" s="38"/>
      <c r="I188" s="38"/>
      <c r="J188" s="38">
        <f>K188+N188</f>
        <v>0</v>
      </c>
      <c r="K188" s="38"/>
      <c r="L188" s="38"/>
      <c r="M188" s="38"/>
      <c r="N188" s="38">
        <f>O188</f>
        <v>0</v>
      </c>
      <c r="O188" s="78"/>
      <c r="P188" s="56">
        <f t="shared" si="18"/>
        <v>0</v>
      </c>
      <c r="Q188" s="54"/>
      <c r="R188" s="60"/>
      <c r="W188" s="54"/>
    </row>
    <row r="189" spans="1:23" ht="35.25" customHeight="1">
      <c r="A189" s="40"/>
      <c r="B189" s="40" t="s">
        <v>368</v>
      </c>
      <c r="C189" s="40"/>
      <c r="D189" s="36" t="s">
        <v>369</v>
      </c>
      <c r="E189" s="38">
        <f>E192+E194+E196+E190</f>
        <v>53880470</v>
      </c>
      <c r="F189" s="38">
        <f>F192+F194+F196+F190</f>
        <v>53880470</v>
      </c>
      <c r="G189" s="38">
        <f>G192+G194+G196</f>
        <v>0</v>
      </c>
      <c r="H189" s="38">
        <f>H192+H194+H196</f>
        <v>0</v>
      </c>
      <c r="I189" s="38"/>
      <c r="J189" s="38">
        <f>K189+N189</f>
        <v>0</v>
      </c>
      <c r="K189" s="38">
        <f>K192+K194+K196</f>
        <v>0</v>
      </c>
      <c r="L189" s="38">
        <f>L192+L194+L196</f>
        <v>0</v>
      </c>
      <c r="M189" s="38">
        <f>M192+M194+M196</f>
        <v>0</v>
      </c>
      <c r="N189" s="38"/>
      <c r="O189" s="38">
        <f>O192+O194+O196</f>
        <v>0</v>
      </c>
      <c r="P189" s="56">
        <f t="shared" si="18"/>
        <v>53880470</v>
      </c>
      <c r="Q189" s="54"/>
      <c r="R189" s="60"/>
      <c r="W189" s="54"/>
    </row>
    <row r="190" spans="1:23" ht="52.5" customHeight="1">
      <c r="A190" s="40"/>
      <c r="B190" s="40" t="s">
        <v>308</v>
      </c>
      <c r="C190" s="76" t="s">
        <v>27</v>
      </c>
      <c r="D190" s="36" t="s">
        <v>242</v>
      </c>
      <c r="E190" s="78">
        <f>F190</f>
        <v>5733320</v>
      </c>
      <c r="F190" s="78">
        <f>F191+315000</f>
        <v>5733320</v>
      </c>
      <c r="G190" s="38"/>
      <c r="H190" s="38"/>
      <c r="I190" s="38"/>
      <c r="J190" s="38">
        <f>K190+N190</f>
        <v>0</v>
      </c>
      <c r="K190" s="38"/>
      <c r="L190" s="38"/>
      <c r="M190" s="38"/>
      <c r="N190" s="38"/>
      <c r="O190" s="38"/>
      <c r="P190" s="56">
        <f t="shared" si="18"/>
        <v>5733320</v>
      </c>
      <c r="Q190" s="54"/>
      <c r="R190" s="60"/>
      <c r="W190" s="54"/>
    </row>
    <row r="191" spans="1:23" s="3" customFormat="1" ht="186" customHeight="1">
      <c r="A191" s="40"/>
      <c r="B191" s="40"/>
      <c r="C191" s="40"/>
      <c r="D191" s="93" t="s">
        <v>237</v>
      </c>
      <c r="E191" s="151">
        <f>F191</f>
        <v>5418320</v>
      </c>
      <c r="F191" s="78">
        <v>5418320</v>
      </c>
      <c r="G191" s="38"/>
      <c r="H191" s="38"/>
      <c r="I191" s="38"/>
      <c r="J191" s="38"/>
      <c r="K191" s="38"/>
      <c r="L191" s="38"/>
      <c r="M191" s="38"/>
      <c r="N191" s="38"/>
      <c r="O191" s="38"/>
      <c r="P191" s="56">
        <f t="shared" si="18"/>
        <v>5418320</v>
      </c>
      <c r="Q191" s="54"/>
      <c r="W191" s="54"/>
    </row>
    <row r="192" spans="1:23" ht="38.25">
      <c r="A192" s="40"/>
      <c r="B192" s="40" t="s">
        <v>70</v>
      </c>
      <c r="C192" s="76" t="s">
        <v>27</v>
      </c>
      <c r="D192" s="36" t="s">
        <v>82</v>
      </c>
      <c r="E192" s="38">
        <f>F192</f>
        <v>1222900</v>
      </c>
      <c r="F192" s="38">
        <f>F193+500000</f>
        <v>1222900</v>
      </c>
      <c r="G192" s="38"/>
      <c r="H192" s="38"/>
      <c r="I192" s="38"/>
      <c r="J192" s="38">
        <f>K192+N192</f>
        <v>0</v>
      </c>
      <c r="K192" s="38"/>
      <c r="L192" s="38"/>
      <c r="M192" s="38"/>
      <c r="N192" s="38"/>
      <c r="O192" s="38"/>
      <c r="P192" s="56">
        <f t="shared" si="18"/>
        <v>1222900</v>
      </c>
      <c r="Q192" s="54"/>
      <c r="R192" s="60"/>
      <c r="W192" s="54"/>
    </row>
    <row r="193" spans="1:23" s="3" customFormat="1" ht="188.25" customHeight="1">
      <c r="A193" s="40"/>
      <c r="B193" s="40"/>
      <c r="C193" s="40"/>
      <c r="D193" s="93" t="s">
        <v>237</v>
      </c>
      <c r="E193" s="38">
        <f>F193</f>
        <v>722900</v>
      </c>
      <c r="F193" s="38">
        <v>722900</v>
      </c>
      <c r="G193" s="38"/>
      <c r="H193" s="38"/>
      <c r="I193" s="38"/>
      <c r="J193" s="38"/>
      <c r="K193" s="38"/>
      <c r="L193" s="38"/>
      <c r="M193" s="38"/>
      <c r="N193" s="38"/>
      <c r="O193" s="38"/>
      <c r="P193" s="56">
        <f t="shared" si="18"/>
        <v>722900</v>
      </c>
      <c r="Q193" s="54"/>
      <c r="W193" s="54"/>
    </row>
    <row r="194" spans="1:23" s="3" customFormat="1" ht="38.25">
      <c r="A194" s="40"/>
      <c r="B194" s="40" t="s">
        <v>68</v>
      </c>
      <c r="C194" s="76" t="s">
        <v>27</v>
      </c>
      <c r="D194" s="61" t="s">
        <v>69</v>
      </c>
      <c r="E194" s="38">
        <f>F194</f>
        <v>3829300</v>
      </c>
      <c r="F194" s="38">
        <v>3829300</v>
      </c>
      <c r="G194" s="38"/>
      <c r="H194" s="38"/>
      <c r="I194" s="38"/>
      <c r="J194" s="38"/>
      <c r="K194" s="38"/>
      <c r="L194" s="38"/>
      <c r="M194" s="38"/>
      <c r="N194" s="38"/>
      <c r="O194" s="38"/>
      <c r="P194" s="56">
        <f t="shared" si="18"/>
        <v>3829300</v>
      </c>
      <c r="Q194" s="54"/>
      <c r="W194" s="54"/>
    </row>
    <row r="195" spans="1:23" s="3" customFormat="1" ht="187.5" customHeight="1">
      <c r="A195" s="40"/>
      <c r="B195" s="40"/>
      <c r="C195" s="40"/>
      <c r="D195" s="93" t="s">
        <v>237</v>
      </c>
      <c r="E195" s="38">
        <f>E194</f>
        <v>3829300</v>
      </c>
      <c r="F195" s="38">
        <f>F194</f>
        <v>3829300</v>
      </c>
      <c r="G195" s="38"/>
      <c r="H195" s="38"/>
      <c r="I195" s="38"/>
      <c r="J195" s="38"/>
      <c r="K195" s="38"/>
      <c r="L195" s="38"/>
      <c r="M195" s="38"/>
      <c r="N195" s="38"/>
      <c r="O195" s="38"/>
      <c r="P195" s="56">
        <f t="shared" si="18"/>
        <v>3829300</v>
      </c>
      <c r="Q195" s="54"/>
      <c r="W195" s="54"/>
    </row>
    <row r="196" spans="1:23" s="3" customFormat="1" ht="38.25">
      <c r="A196" s="40"/>
      <c r="B196" s="40" t="s">
        <v>309</v>
      </c>
      <c r="C196" s="76" t="s">
        <v>27</v>
      </c>
      <c r="D196" s="70" t="s">
        <v>233</v>
      </c>
      <c r="E196" s="78">
        <f>F196</f>
        <v>43094950</v>
      </c>
      <c r="F196" s="78">
        <f>F197+1260000</f>
        <v>43094950</v>
      </c>
      <c r="G196" s="38"/>
      <c r="H196" s="38"/>
      <c r="I196" s="38"/>
      <c r="J196" s="38">
        <f>K196+N196</f>
        <v>0</v>
      </c>
      <c r="K196" s="38"/>
      <c r="L196" s="38"/>
      <c r="M196" s="38"/>
      <c r="N196" s="38"/>
      <c r="O196" s="38"/>
      <c r="P196" s="56">
        <f t="shared" si="18"/>
        <v>43094950</v>
      </c>
      <c r="Q196" s="54"/>
      <c r="W196" s="54"/>
    </row>
    <row r="197" spans="1:23" s="3" customFormat="1" ht="195.75" customHeight="1">
      <c r="A197" s="40"/>
      <c r="B197" s="40"/>
      <c r="C197" s="40"/>
      <c r="D197" s="93" t="s">
        <v>237</v>
      </c>
      <c r="E197" s="38">
        <f>F197</f>
        <v>41834950</v>
      </c>
      <c r="F197" s="38">
        <v>41834950</v>
      </c>
      <c r="G197" s="38"/>
      <c r="H197" s="38"/>
      <c r="I197" s="38"/>
      <c r="J197" s="38"/>
      <c r="K197" s="38"/>
      <c r="L197" s="38"/>
      <c r="M197" s="38"/>
      <c r="N197" s="38"/>
      <c r="O197" s="38"/>
      <c r="P197" s="56">
        <f t="shared" si="18"/>
        <v>41834950</v>
      </c>
      <c r="Q197" s="54"/>
      <c r="W197" s="54"/>
    </row>
    <row r="198" spans="1:23" s="55" customFormat="1" ht="12.75" hidden="1">
      <c r="A198" s="40"/>
      <c r="B198" s="40" t="s">
        <v>370</v>
      </c>
      <c r="C198" s="40"/>
      <c r="D198" s="36" t="s">
        <v>374</v>
      </c>
      <c r="E198" s="38">
        <f>E199</f>
        <v>0</v>
      </c>
      <c r="F198" s="38">
        <f>F199</f>
        <v>0</v>
      </c>
      <c r="G198" s="38">
        <f>G199</f>
        <v>0</v>
      </c>
      <c r="H198" s="38">
        <f>H199</f>
        <v>0</v>
      </c>
      <c r="I198" s="38"/>
      <c r="J198" s="38">
        <f>K198+N198</f>
        <v>0</v>
      </c>
      <c r="K198" s="38">
        <f>K199</f>
        <v>0</v>
      </c>
      <c r="L198" s="38">
        <f>L199</f>
        <v>0</v>
      </c>
      <c r="M198" s="38">
        <f>M199</f>
        <v>0</v>
      </c>
      <c r="N198" s="38">
        <f>N199</f>
        <v>0</v>
      </c>
      <c r="O198" s="38">
        <f>O199</f>
        <v>0</v>
      </c>
      <c r="P198" s="56">
        <f t="shared" si="18"/>
        <v>0</v>
      </c>
      <c r="Q198" s="54"/>
      <c r="R198" s="54"/>
      <c r="W198" s="54"/>
    </row>
    <row r="199" spans="1:23" s="58" customFormat="1" ht="25.5" hidden="1">
      <c r="A199" s="40"/>
      <c r="B199" s="40" t="s">
        <v>286</v>
      </c>
      <c r="C199" s="40"/>
      <c r="D199" s="61" t="s">
        <v>333</v>
      </c>
      <c r="E199" s="38"/>
      <c r="F199" s="38"/>
      <c r="G199" s="38"/>
      <c r="H199" s="38"/>
      <c r="I199" s="38"/>
      <c r="J199" s="38">
        <f>K199+N199</f>
        <v>0</v>
      </c>
      <c r="K199" s="38"/>
      <c r="L199" s="38"/>
      <c r="M199" s="38"/>
      <c r="N199" s="38"/>
      <c r="O199" s="38"/>
      <c r="P199" s="56">
        <f t="shared" si="18"/>
        <v>0</v>
      </c>
      <c r="Q199" s="54"/>
      <c r="R199" s="57"/>
      <c r="W199" s="54"/>
    </row>
    <row r="200" spans="1:23" ht="25.5" hidden="1">
      <c r="A200" s="9"/>
      <c r="B200" s="9" t="s">
        <v>372</v>
      </c>
      <c r="C200" s="9"/>
      <c r="D200" s="6" t="s">
        <v>373</v>
      </c>
      <c r="E200" s="27">
        <f>E201+E202</f>
        <v>0</v>
      </c>
      <c r="F200" s="27"/>
      <c r="G200" s="27">
        <f>G201+G202</f>
        <v>0</v>
      </c>
      <c r="H200" s="27">
        <f>H201+H202</f>
        <v>0</v>
      </c>
      <c r="I200" s="27"/>
      <c r="J200" s="27">
        <f>J202</f>
        <v>0</v>
      </c>
      <c r="K200" s="27">
        <f>K201+K202</f>
        <v>0</v>
      </c>
      <c r="L200" s="27">
        <f>L201+L202</f>
        <v>0</v>
      </c>
      <c r="M200" s="27">
        <f>M201+M202</f>
        <v>0</v>
      </c>
      <c r="N200" s="27">
        <f>N201+N202</f>
        <v>0</v>
      </c>
      <c r="O200" s="27">
        <f>O201+O202</f>
        <v>0</v>
      </c>
      <c r="P200" s="26">
        <f t="shared" si="18"/>
        <v>0</v>
      </c>
      <c r="Q200" s="54"/>
      <c r="R200" s="60"/>
      <c r="W200" s="54"/>
    </row>
    <row r="201" spans="1:23" ht="53.25" customHeight="1" hidden="1">
      <c r="A201" s="40"/>
      <c r="B201" s="40" t="s">
        <v>287</v>
      </c>
      <c r="C201" s="40"/>
      <c r="D201" s="36" t="s">
        <v>316</v>
      </c>
      <c r="E201" s="38"/>
      <c r="F201" s="38"/>
      <c r="G201" s="38"/>
      <c r="H201" s="38"/>
      <c r="I201" s="38"/>
      <c r="J201" s="38">
        <f>K201+N201</f>
        <v>0</v>
      </c>
      <c r="K201" s="38"/>
      <c r="L201" s="38"/>
      <c r="M201" s="38"/>
      <c r="N201" s="38"/>
      <c r="O201" s="38"/>
      <c r="P201" s="56">
        <f t="shared" si="18"/>
        <v>0</v>
      </c>
      <c r="Q201" s="54"/>
      <c r="R201" s="60"/>
      <c r="W201" s="54"/>
    </row>
    <row r="202" spans="1:23" ht="153.75" customHeight="1" hidden="1">
      <c r="A202" s="9"/>
      <c r="B202" s="9" t="s">
        <v>390</v>
      </c>
      <c r="C202" s="9"/>
      <c r="D202" s="6" t="s">
        <v>391</v>
      </c>
      <c r="E202" s="27"/>
      <c r="F202" s="27"/>
      <c r="G202" s="27"/>
      <c r="H202" s="27"/>
      <c r="I202" s="27"/>
      <c r="J202" s="27">
        <f>K202+N202</f>
        <v>0</v>
      </c>
      <c r="K202" s="27"/>
      <c r="L202" s="27"/>
      <c r="M202" s="27"/>
      <c r="N202" s="27"/>
      <c r="O202" s="27"/>
      <c r="P202" s="26">
        <f t="shared" si="18"/>
        <v>0</v>
      </c>
      <c r="Q202" s="54"/>
      <c r="R202" s="60"/>
      <c r="W202" s="54"/>
    </row>
    <row r="203" spans="1:23" ht="111.75" customHeight="1" hidden="1">
      <c r="A203" s="9"/>
      <c r="B203" s="9"/>
      <c r="C203" s="9"/>
      <c r="D203" s="94" t="s">
        <v>112</v>
      </c>
      <c r="E203" s="27"/>
      <c r="F203" s="27"/>
      <c r="G203" s="27"/>
      <c r="H203" s="27"/>
      <c r="I203" s="27"/>
      <c r="J203" s="27">
        <f>K203+N203</f>
        <v>0</v>
      </c>
      <c r="K203" s="27">
        <f>K202</f>
        <v>0</v>
      </c>
      <c r="L203" s="27">
        <f>L202</f>
        <v>0</v>
      </c>
      <c r="M203" s="27">
        <f>M202</f>
        <v>0</v>
      </c>
      <c r="N203" s="27">
        <f>N202</f>
        <v>0</v>
      </c>
      <c r="O203" s="27">
        <f>O202</f>
        <v>0</v>
      </c>
      <c r="P203" s="26">
        <f>E203+J203</f>
        <v>0</v>
      </c>
      <c r="Q203" s="54"/>
      <c r="R203" s="60"/>
      <c r="W203" s="54"/>
    </row>
    <row r="204" spans="1:23" s="55" customFormat="1" ht="25.5" hidden="1">
      <c r="A204" s="103"/>
      <c r="B204" s="103" t="s">
        <v>270</v>
      </c>
      <c r="C204" s="103"/>
      <c r="D204" s="104" t="s">
        <v>317</v>
      </c>
      <c r="E204" s="105">
        <f>E205+E206+E207</f>
        <v>0</v>
      </c>
      <c r="F204" s="105"/>
      <c r="G204" s="105">
        <f>G205+G206+G207</f>
        <v>0</v>
      </c>
      <c r="H204" s="105">
        <f>H205+H206+H207</f>
        <v>0</v>
      </c>
      <c r="I204" s="105"/>
      <c r="J204" s="105">
        <f aca="true" t="shared" si="20" ref="J204:J211">K204+N204</f>
        <v>0</v>
      </c>
      <c r="K204" s="105">
        <f>K205+K206+K207</f>
        <v>0</v>
      </c>
      <c r="L204" s="105">
        <f>L205+L206+L207</f>
        <v>0</v>
      </c>
      <c r="M204" s="105">
        <f>M205+M206+M207</f>
        <v>0</v>
      </c>
      <c r="N204" s="105">
        <f>N205+N206+N207</f>
        <v>0</v>
      </c>
      <c r="O204" s="105">
        <f>O205+O206+O207</f>
        <v>0</v>
      </c>
      <c r="P204" s="106">
        <f aca="true" t="shared" si="21" ref="P204:P214">E204+J204</f>
        <v>0</v>
      </c>
      <c r="Q204" s="54"/>
      <c r="R204" s="54"/>
      <c r="W204" s="54"/>
    </row>
    <row r="205" spans="1:23" s="58" customFormat="1" ht="25.5" hidden="1">
      <c r="A205" s="103"/>
      <c r="B205" s="103" t="s">
        <v>343</v>
      </c>
      <c r="C205" s="103"/>
      <c r="D205" s="107" t="s">
        <v>65</v>
      </c>
      <c r="E205" s="105"/>
      <c r="F205" s="105"/>
      <c r="G205" s="105"/>
      <c r="H205" s="105"/>
      <c r="I205" s="105"/>
      <c r="J205" s="105">
        <f t="shared" si="20"/>
        <v>0</v>
      </c>
      <c r="K205" s="105"/>
      <c r="L205" s="105"/>
      <c r="M205" s="105"/>
      <c r="N205" s="105"/>
      <c r="O205" s="105"/>
      <c r="P205" s="106">
        <f t="shared" si="21"/>
        <v>0</v>
      </c>
      <c r="Q205" s="54"/>
      <c r="R205" s="57"/>
      <c r="W205" s="54"/>
    </row>
    <row r="206" spans="1:23" ht="25.5" hidden="1">
      <c r="A206" s="103"/>
      <c r="B206" s="103" t="s">
        <v>344</v>
      </c>
      <c r="C206" s="103"/>
      <c r="D206" s="107" t="s">
        <v>71</v>
      </c>
      <c r="E206" s="105"/>
      <c r="F206" s="105"/>
      <c r="G206" s="105"/>
      <c r="H206" s="105"/>
      <c r="I206" s="105"/>
      <c r="J206" s="105">
        <f t="shared" si="20"/>
        <v>0</v>
      </c>
      <c r="K206" s="105"/>
      <c r="L206" s="105"/>
      <c r="M206" s="105"/>
      <c r="N206" s="105"/>
      <c r="O206" s="105"/>
      <c r="P206" s="106">
        <f t="shared" si="21"/>
        <v>0</v>
      </c>
      <c r="Q206" s="54"/>
      <c r="R206" s="60"/>
      <c r="W206" s="54"/>
    </row>
    <row r="207" spans="1:23" ht="26.25" customHeight="1" hidden="1">
      <c r="A207" s="103"/>
      <c r="B207" s="103" t="s">
        <v>272</v>
      </c>
      <c r="C207" s="103"/>
      <c r="D207" s="107" t="s">
        <v>383</v>
      </c>
      <c r="E207" s="105"/>
      <c r="F207" s="105"/>
      <c r="G207" s="105"/>
      <c r="H207" s="105"/>
      <c r="I207" s="105"/>
      <c r="J207" s="105">
        <f t="shared" si="20"/>
        <v>0</v>
      </c>
      <c r="K207" s="105"/>
      <c r="L207" s="105"/>
      <c r="M207" s="105"/>
      <c r="N207" s="105"/>
      <c r="O207" s="105"/>
      <c r="P207" s="106">
        <f t="shared" si="21"/>
        <v>0</v>
      </c>
      <c r="Q207" s="54"/>
      <c r="R207" s="60"/>
      <c r="W207" s="54"/>
    </row>
    <row r="208" spans="1:23" ht="63.75" hidden="1">
      <c r="A208" s="40"/>
      <c r="B208" s="40" t="s">
        <v>60</v>
      </c>
      <c r="C208" s="40"/>
      <c r="D208" s="36" t="s">
        <v>61</v>
      </c>
      <c r="E208" s="38"/>
      <c r="F208" s="38"/>
      <c r="G208" s="38"/>
      <c r="H208" s="38"/>
      <c r="I208" s="38"/>
      <c r="J208" s="38">
        <f t="shared" si="20"/>
        <v>0</v>
      </c>
      <c r="K208" s="38"/>
      <c r="L208" s="38"/>
      <c r="M208" s="38"/>
      <c r="N208" s="38"/>
      <c r="O208" s="38"/>
      <c r="P208" s="56">
        <f t="shared" si="21"/>
        <v>0</v>
      </c>
      <c r="Q208" s="54"/>
      <c r="R208" s="60"/>
      <c r="W208" s="54"/>
    </row>
    <row r="209" spans="1:23" ht="25.5" hidden="1">
      <c r="A209" s="40"/>
      <c r="B209" s="40" t="s">
        <v>286</v>
      </c>
      <c r="C209" s="40"/>
      <c r="D209" s="61" t="s">
        <v>333</v>
      </c>
      <c r="E209" s="38"/>
      <c r="F209" s="38"/>
      <c r="G209" s="38"/>
      <c r="H209" s="38"/>
      <c r="I209" s="38"/>
      <c r="J209" s="38">
        <f t="shared" si="20"/>
        <v>0</v>
      </c>
      <c r="K209" s="38"/>
      <c r="L209" s="38"/>
      <c r="M209" s="38"/>
      <c r="N209" s="38"/>
      <c r="O209" s="38"/>
      <c r="P209" s="56">
        <f t="shared" si="21"/>
        <v>0</v>
      </c>
      <c r="Q209" s="54"/>
      <c r="R209" s="60"/>
      <c r="W209" s="54"/>
    </row>
    <row r="210" spans="1:23" ht="25.5">
      <c r="A210" s="100"/>
      <c r="B210" s="100" t="s">
        <v>165</v>
      </c>
      <c r="C210" s="100"/>
      <c r="D210" s="101" t="s">
        <v>142</v>
      </c>
      <c r="E210" s="52">
        <f aca="true" t="shared" si="22" ref="E210:H211">E211</f>
        <v>3323167</v>
      </c>
      <c r="F210" s="52">
        <f t="shared" si="22"/>
        <v>3323167</v>
      </c>
      <c r="G210" s="52">
        <f t="shared" si="22"/>
        <v>2204937</v>
      </c>
      <c r="H210" s="52">
        <f t="shared" si="22"/>
        <v>137634</v>
      </c>
      <c r="I210" s="52"/>
      <c r="J210" s="52">
        <f t="shared" si="20"/>
        <v>108000</v>
      </c>
      <c r="K210" s="52"/>
      <c r="L210" s="52"/>
      <c r="M210" s="52"/>
      <c r="N210" s="52">
        <f>N211</f>
        <v>108000</v>
      </c>
      <c r="O210" s="52">
        <f>O211</f>
        <v>108000</v>
      </c>
      <c r="P210" s="53">
        <f>E210+J210</f>
        <v>3431167</v>
      </c>
      <c r="Q210" s="54"/>
      <c r="R210" s="60"/>
      <c r="W210" s="54"/>
    </row>
    <row r="211" spans="1:23" ht="12.75">
      <c r="A211" s="43"/>
      <c r="B211" s="43" t="s">
        <v>363</v>
      </c>
      <c r="C211" s="43"/>
      <c r="D211" s="44" t="s">
        <v>364</v>
      </c>
      <c r="E211" s="38">
        <f t="shared" si="22"/>
        <v>3323167</v>
      </c>
      <c r="F211" s="38">
        <f t="shared" si="22"/>
        <v>3323167</v>
      </c>
      <c r="G211" s="38">
        <f t="shared" si="22"/>
        <v>2204937</v>
      </c>
      <c r="H211" s="38">
        <f t="shared" si="22"/>
        <v>137634</v>
      </c>
      <c r="I211" s="38"/>
      <c r="J211" s="38">
        <f t="shared" si="20"/>
        <v>108000</v>
      </c>
      <c r="K211" s="38"/>
      <c r="L211" s="38"/>
      <c r="M211" s="38"/>
      <c r="N211" s="38">
        <f>N212</f>
        <v>108000</v>
      </c>
      <c r="O211" s="38">
        <f>O212</f>
        <v>108000</v>
      </c>
      <c r="P211" s="56">
        <f>E211+J211</f>
        <v>3431167</v>
      </c>
      <c r="Q211" s="54"/>
      <c r="R211" s="60"/>
      <c r="W211" s="54"/>
    </row>
    <row r="212" spans="1:23" ht="12.75">
      <c r="A212" s="40"/>
      <c r="B212" s="40" t="s">
        <v>248</v>
      </c>
      <c r="C212" s="76" t="s">
        <v>4</v>
      </c>
      <c r="D212" s="59" t="s">
        <v>249</v>
      </c>
      <c r="E212" s="38">
        <f>F212+I212</f>
        <v>3323167</v>
      </c>
      <c r="F212" s="38">
        <f>3247786+16190+1666+57525</f>
        <v>3323167</v>
      </c>
      <c r="G212" s="38">
        <f>2193171+11766</f>
        <v>2204937</v>
      </c>
      <c r="H212" s="37">
        <f>135968+1666</f>
        <v>137634</v>
      </c>
      <c r="I212" s="37"/>
      <c r="J212" s="38">
        <f>K212+N212</f>
        <v>108000</v>
      </c>
      <c r="K212" s="38"/>
      <c r="L212" s="38"/>
      <c r="M212" s="38"/>
      <c r="N212" s="38">
        <f>O212</f>
        <v>108000</v>
      </c>
      <c r="O212" s="38">
        <v>108000</v>
      </c>
      <c r="P212" s="56">
        <f>E212+J212</f>
        <v>3431167</v>
      </c>
      <c r="Q212" s="54"/>
      <c r="R212" s="60"/>
      <c r="W212" s="54"/>
    </row>
    <row r="213" spans="1:23" ht="12.75" hidden="1">
      <c r="A213" s="40"/>
      <c r="B213" s="40" t="s">
        <v>370</v>
      </c>
      <c r="C213" s="40"/>
      <c r="D213" s="36" t="s">
        <v>374</v>
      </c>
      <c r="E213" s="38"/>
      <c r="F213" s="38"/>
      <c r="G213" s="38"/>
      <c r="H213" s="38"/>
      <c r="I213" s="38"/>
      <c r="J213" s="38">
        <f>K213+N213</f>
        <v>0</v>
      </c>
      <c r="K213" s="38">
        <f>K214</f>
        <v>0</v>
      </c>
      <c r="L213" s="38">
        <f>L214</f>
        <v>0</v>
      </c>
      <c r="M213" s="38">
        <f>M214</f>
        <v>0</v>
      </c>
      <c r="N213" s="38">
        <f>N214</f>
        <v>0</v>
      </c>
      <c r="O213" s="38">
        <f>O214</f>
        <v>0</v>
      </c>
      <c r="P213" s="56">
        <f t="shared" si="21"/>
        <v>0</v>
      </c>
      <c r="Q213" s="54"/>
      <c r="R213" s="60"/>
      <c r="W213" s="54"/>
    </row>
    <row r="214" spans="1:23" ht="25.5" hidden="1">
      <c r="A214" s="40"/>
      <c r="B214" s="40" t="s">
        <v>286</v>
      </c>
      <c r="C214" s="40"/>
      <c r="D214" s="36" t="s">
        <v>333</v>
      </c>
      <c r="E214" s="38"/>
      <c r="F214" s="38"/>
      <c r="G214" s="38"/>
      <c r="H214" s="38"/>
      <c r="I214" s="38"/>
      <c r="J214" s="38">
        <f>K214+N214</f>
        <v>0</v>
      </c>
      <c r="K214" s="38"/>
      <c r="L214" s="38"/>
      <c r="M214" s="38"/>
      <c r="N214" s="38"/>
      <c r="O214" s="38"/>
      <c r="P214" s="56">
        <f t="shared" si="21"/>
        <v>0</v>
      </c>
      <c r="Q214" s="54"/>
      <c r="R214" s="60"/>
      <c r="W214" s="54"/>
    </row>
    <row r="215" spans="1:23" s="3" customFormat="1" ht="54" customHeight="1">
      <c r="A215" s="18"/>
      <c r="B215" s="18" t="s">
        <v>161</v>
      </c>
      <c r="C215" s="18"/>
      <c r="D215" s="20" t="s">
        <v>122</v>
      </c>
      <c r="E215" s="31">
        <f aca="true" t="shared" si="23" ref="E215:H216">E216</f>
        <v>973085</v>
      </c>
      <c r="F215" s="31">
        <f t="shared" si="23"/>
        <v>973085</v>
      </c>
      <c r="G215" s="31">
        <f t="shared" si="23"/>
        <v>605328</v>
      </c>
      <c r="H215" s="31">
        <f t="shared" si="23"/>
        <v>39754</v>
      </c>
      <c r="I215" s="31"/>
      <c r="J215" s="31">
        <f>K215+N215</f>
        <v>0</v>
      </c>
      <c r="K215" s="31">
        <f>K216</f>
        <v>0</v>
      </c>
      <c r="L215" s="31"/>
      <c r="M215" s="31"/>
      <c r="N215" s="31">
        <f>N216</f>
        <v>0</v>
      </c>
      <c r="O215" s="31">
        <f>O216</f>
        <v>0</v>
      </c>
      <c r="P215" s="53">
        <f>E215+J215</f>
        <v>973085</v>
      </c>
      <c r="Q215" s="54"/>
      <c r="W215" s="54"/>
    </row>
    <row r="216" spans="1:23" s="3" customFormat="1" ht="12.75">
      <c r="A216" s="71"/>
      <c r="B216" s="71" t="s">
        <v>363</v>
      </c>
      <c r="C216" s="71"/>
      <c r="D216" s="72" t="s">
        <v>364</v>
      </c>
      <c r="E216" s="27">
        <f t="shared" si="23"/>
        <v>973085</v>
      </c>
      <c r="F216" s="27">
        <f t="shared" si="23"/>
        <v>973085</v>
      </c>
      <c r="G216" s="27">
        <f t="shared" si="23"/>
        <v>605328</v>
      </c>
      <c r="H216" s="27">
        <f t="shared" si="23"/>
        <v>39754</v>
      </c>
      <c r="I216" s="27"/>
      <c r="J216" s="27">
        <f>J217</f>
        <v>0</v>
      </c>
      <c r="K216" s="27">
        <f>K217</f>
        <v>0</v>
      </c>
      <c r="L216" s="27"/>
      <c r="M216" s="27"/>
      <c r="N216" s="27">
        <f>N217</f>
        <v>0</v>
      </c>
      <c r="O216" s="27">
        <f>O217</f>
        <v>0</v>
      </c>
      <c r="P216" s="56">
        <f>E216+J216</f>
        <v>973085</v>
      </c>
      <c r="Q216" s="54"/>
      <c r="W216" s="54"/>
    </row>
    <row r="217" spans="1:23" s="3" customFormat="1" ht="12.75">
      <c r="A217" s="7"/>
      <c r="B217" s="7" t="s">
        <v>248</v>
      </c>
      <c r="C217" s="7" t="s">
        <v>4</v>
      </c>
      <c r="D217" s="73" t="s">
        <v>249</v>
      </c>
      <c r="E217" s="27">
        <f>F217+I217</f>
        <v>973085</v>
      </c>
      <c r="F217" s="27">
        <f>965781+7304</f>
        <v>973085</v>
      </c>
      <c r="G217" s="27">
        <f>599970+5358</f>
        <v>605328</v>
      </c>
      <c r="H217" s="27">
        <v>39754</v>
      </c>
      <c r="I217" s="27"/>
      <c r="J217" s="27">
        <f>K217+N217</f>
        <v>0</v>
      </c>
      <c r="K217" s="130"/>
      <c r="L217" s="27"/>
      <c r="M217" s="27"/>
      <c r="N217" s="27">
        <f>O217</f>
        <v>0</v>
      </c>
      <c r="O217" s="27"/>
      <c r="P217" s="56">
        <f>E217+J217</f>
        <v>973085</v>
      </c>
      <c r="Q217" s="54"/>
      <c r="W217" s="54"/>
    </row>
    <row r="218" spans="1:23" ht="25.5">
      <c r="A218" s="100"/>
      <c r="B218" s="100" t="s">
        <v>170</v>
      </c>
      <c r="C218" s="100"/>
      <c r="D218" s="112" t="s">
        <v>126</v>
      </c>
      <c r="E218" s="52">
        <f>E219+E221+E230+E232+E234</f>
        <v>83127097</v>
      </c>
      <c r="F218" s="52">
        <f>F219+F221+F230+F232+F234</f>
        <v>83127097</v>
      </c>
      <c r="G218" s="52">
        <f>G219+G221+G230+G232+G234</f>
        <v>48650647</v>
      </c>
      <c r="H218" s="52">
        <f>H219+H221+H230+H232+H234</f>
        <v>5660626</v>
      </c>
      <c r="I218" s="52"/>
      <c r="J218" s="52">
        <f>K218+N218</f>
        <v>9281061</v>
      </c>
      <c r="K218" s="52">
        <f>K219+K221+K230+K232+K234</f>
        <v>5319570</v>
      </c>
      <c r="L218" s="52">
        <f>L219+L221+L230+L232+L234</f>
        <v>2705548</v>
      </c>
      <c r="M218" s="52">
        <f>M219+M221+M230+M232+M234</f>
        <v>839449</v>
      </c>
      <c r="N218" s="52">
        <f>N219+N221+N230+N232+N234</f>
        <v>3961491</v>
      </c>
      <c r="O218" s="52">
        <f>O219+O221+O230+O232+O234</f>
        <v>3943491</v>
      </c>
      <c r="P218" s="53">
        <f aca="true" t="shared" si="24" ref="P218:P236">E218+J218</f>
        <v>92408158</v>
      </c>
      <c r="Q218" s="54"/>
      <c r="R218" s="60"/>
      <c r="W218" s="54"/>
    </row>
    <row r="219" spans="1:23" ht="15" customHeight="1">
      <c r="A219" s="43"/>
      <c r="B219" s="43" t="s">
        <v>363</v>
      </c>
      <c r="C219" s="43"/>
      <c r="D219" s="65" t="s">
        <v>364</v>
      </c>
      <c r="E219" s="37">
        <f>E220</f>
        <v>960902</v>
      </c>
      <c r="F219" s="37">
        <f>F220</f>
        <v>960902</v>
      </c>
      <c r="G219" s="37">
        <f>G220</f>
        <v>646188</v>
      </c>
      <c r="H219" s="37">
        <f>H220</f>
        <v>65437</v>
      </c>
      <c r="I219" s="37"/>
      <c r="J219" s="38">
        <f aca="true" t="shared" si="25" ref="J219:J235">K219+N219</f>
        <v>0</v>
      </c>
      <c r="K219" s="37"/>
      <c r="L219" s="37"/>
      <c r="M219" s="37"/>
      <c r="N219" s="37"/>
      <c r="O219" s="37"/>
      <c r="P219" s="56">
        <f t="shared" si="24"/>
        <v>960902</v>
      </c>
      <c r="Q219" s="54"/>
      <c r="R219" s="60"/>
      <c r="W219" s="54"/>
    </row>
    <row r="220" spans="1:23" ht="12.75">
      <c r="A220" s="40"/>
      <c r="B220" s="40" t="s">
        <v>248</v>
      </c>
      <c r="C220" s="76" t="s">
        <v>4</v>
      </c>
      <c r="D220" s="77" t="s">
        <v>249</v>
      </c>
      <c r="E220" s="38">
        <f>F220+I220</f>
        <v>960902</v>
      </c>
      <c r="F220" s="38">
        <f>953640+7262</f>
        <v>960902</v>
      </c>
      <c r="G220" s="38">
        <f>640678+5510</f>
        <v>646188</v>
      </c>
      <c r="H220" s="38">
        <v>65437</v>
      </c>
      <c r="I220" s="38"/>
      <c r="J220" s="38">
        <f t="shared" si="25"/>
        <v>0</v>
      </c>
      <c r="K220" s="38"/>
      <c r="L220" s="38"/>
      <c r="M220" s="38"/>
      <c r="N220" s="38"/>
      <c r="O220" s="38"/>
      <c r="P220" s="56">
        <f t="shared" si="24"/>
        <v>960902</v>
      </c>
      <c r="Q220" s="54"/>
      <c r="R220" s="60"/>
      <c r="W220" s="54"/>
    </row>
    <row r="221" spans="1:23" ht="12.75">
      <c r="A221" s="40"/>
      <c r="B221" s="40" t="s">
        <v>274</v>
      </c>
      <c r="C221" s="40"/>
      <c r="D221" s="36" t="s">
        <v>239</v>
      </c>
      <c r="E221" s="38">
        <f>SUM(E222:E229)</f>
        <v>82166195</v>
      </c>
      <c r="F221" s="38">
        <f>SUM(F222:F229)</f>
        <v>82166195</v>
      </c>
      <c r="G221" s="38">
        <f>SUM(G222:G229)</f>
        <v>48004459</v>
      </c>
      <c r="H221" s="38">
        <f>SUM(H222:H229)</f>
        <v>5595189</v>
      </c>
      <c r="I221" s="38"/>
      <c r="J221" s="38">
        <f t="shared" si="25"/>
        <v>9108542</v>
      </c>
      <c r="K221" s="38">
        <f>SUM(K222:K229)</f>
        <v>5319570</v>
      </c>
      <c r="L221" s="38">
        <f>SUM(L222:L229)</f>
        <v>2705548</v>
      </c>
      <c r="M221" s="38">
        <f>SUM(M222:M229)</f>
        <v>839449</v>
      </c>
      <c r="N221" s="38">
        <f>SUM(N222:N229)</f>
        <v>3788972</v>
      </c>
      <c r="O221" s="38">
        <f>SUM(O222:O229)</f>
        <v>3770972</v>
      </c>
      <c r="P221" s="56">
        <f t="shared" si="24"/>
        <v>91274737</v>
      </c>
      <c r="Q221" s="54"/>
      <c r="R221" s="60"/>
      <c r="W221" s="54"/>
    </row>
    <row r="222" spans="1:23" ht="12.75">
      <c r="A222" s="40"/>
      <c r="B222" s="40">
        <v>110102</v>
      </c>
      <c r="C222" s="76" t="s">
        <v>31</v>
      </c>
      <c r="D222" s="70" t="s">
        <v>275</v>
      </c>
      <c r="E222" s="38">
        <f>F222+I222</f>
        <v>4926044</v>
      </c>
      <c r="F222" s="38">
        <f>4840044+86000</f>
        <v>4926044</v>
      </c>
      <c r="G222" s="38"/>
      <c r="H222" s="38"/>
      <c r="I222" s="38"/>
      <c r="J222" s="38">
        <f t="shared" si="25"/>
        <v>75227</v>
      </c>
      <c r="K222" s="38"/>
      <c r="L222" s="38"/>
      <c r="M222" s="38"/>
      <c r="N222" s="38">
        <f>O222</f>
        <v>75227</v>
      </c>
      <c r="O222" s="38">
        <v>75227</v>
      </c>
      <c r="P222" s="56">
        <f t="shared" si="24"/>
        <v>5001271</v>
      </c>
      <c r="Q222" s="54"/>
      <c r="R222" s="60"/>
      <c r="W222" s="54"/>
    </row>
    <row r="223" spans="1:23" ht="12.75">
      <c r="A223" s="40"/>
      <c r="B223" s="40">
        <v>110201</v>
      </c>
      <c r="C223" s="76" t="s">
        <v>32</v>
      </c>
      <c r="D223" s="70" t="s">
        <v>276</v>
      </c>
      <c r="E223" s="38">
        <f aca="true" t="shared" si="26" ref="E223:E231">F223+I223</f>
        <v>15612695</v>
      </c>
      <c r="F223" s="38">
        <f>14923595+343100+296000+(50000)</f>
        <v>15612695</v>
      </c>
      <c r="G223" s="38">
        <f>8714939+218900</f>
        <v>8933839</v>
      </c>
      <c r="H223" s="38">
        <v>1367884</v>
      </c>
      <c r="I223" s="38"/>
      <c r="J223" s="38">
        <f>K223+N223</f>
        <v>839343</v>
      </c>
      <c r="K223" s="38">
        <v>6500</v>
      </c>
      <c r="L223" s="38"/>
      <c r="M223" s="38">
        <v>2088</v>
      </c>
      <c r="N223" s="38">
        <f>O223</f>
        <v>832843</v>
      </c>
      <c r="O223" s="38">
        <f>756243+16600+(60000)</f>
        <v>832843</v>
      </c>
      <c r="P223" s="56">
        <f t="shared" si="24"/>
        <v>16452038</v>
      </c>
      <c r="Q223" s="54"/>
      <c r="R223" s="60"/>
      <c r="W223" s="54"/>
    </row>
    <row r="224" spans="1:23" ht="26.25" customHeight="1">
      <c r="A224" s="40"/>
      <c r="B224" s="40">
        <v>110204</v>
      </c>
      <c r="C224" s="76" t="s">
        <v>33</v>
      </c>
      <c r="D224" s="70" t="s">
        <v>350</v>
      </c>
      <c r="E224" s="38">
        <f t="shared" si="26"/>
        <v>10404018</v>
      </c>
      <c r="F224" s="38">
        <f>10136018+248000+(20000)</f>
        <v>10404018</v>
      </c>
      <c r="G224" s="38">
        <f>4874239+182500</f>
        <v>5056739</v>
      </c>
      <c r="H224" s="38">
        <v>2594212</v>
      </c>
      <c r="I224" s="38"/>
      <c r="J224" s="38">
        <f t="shared" si="25"/>
        <v>4030839</v>
      </c>
      <c r="K224" s="38">
        <v>1611562</v>
      </c>
      <c r="L224" s="38">
        <v>482944</v>
      </c>
      <c r="M224" s="38">
        <v>330026</v>
      </c>
      <c r="N224" s="38">
        <f>18000+O224</f>
        <v>2419277</v>
      </c>
      <c r="O224" s="38">
        <f>724013+1637264+(40000)</f>
        <v>2401277</v>
      </c>
      <c r="P224" s="56">
        <f t="shared" si="24"/>
        <v>14434857</v>
      </c>
      <c r="Q224" s="54"/>
      <c r="R224" s="60"/>
      <c r="W224" s="54"/>
    </row>
    <row r="225" spans="1:23" ht="12.75">
      <c r="A225" s="40"/>
      <c r="B225" s="40">
        <v>110205</v>
      </c>
      <c r="C225" s="76" t="s">
        <v>11</v>
      </c>
      <c r="D225" s="70" t="s">
        <v>277</v>
      </c>
      <c r="E225" s="38">
        <f t="shared" si="26"/>
        <v>46404050</v>
      </c>
      <c r="F225" s="38">
        <f>45415350+25000+943700+(20000)</f>
        <v>46404050</v>
      </c>
      <c r="G225" s="38">
        <f>31995707+695400</f>
        <v>32691107</v>
      </c>
      <c r="H225" s="38">
        <v>1550026</v>
      </c>
      <c r="I225" s="38"/>
      <c r="J225" s="38">
        <f t="shared" si="25"/>
        <v>4111473</v>
      </c>
      <c r="K225" s="38">
        <v>3700848</v>
      </c>
      <c r="L225" s="38">
        <v>2222604</v>
      </c>
      <c r="M225" s="38">
        <v>507275</v>
      </c>
      <c r="N225" s="38">
        <f>O225</f>
        <v>410625</v>
      </c>
      <c r="O225" s="78">
        <f>343625+27000+(30000)+(10000)</f>
        <v>410625</v>
      </c>
      <c r="P225" s="56">
        <f t="shared" si="24"/>
        <v>50515523</v>
      </c>
      <c r="Q225" s="54"/>
      <c r="R225" s="60"/>
      <c r="W225" s="54"/>
    </row>
    <row r="226" spans="1:23" ht="102" hidden="1">
      <c r="A226" s="40"/>
      <c r="B226" s="40" t="s">
        <v>76</v>
      </c>
      <c r="C226" s="40"/>
      <c r="D226" s="36" t="s">
        <v>75</v>
      </c>
      <c r="E226" s="38">
        <f t="shared" si="26"/>
        <v>0</v>
      </c>
      <c r="F226" s="38"/>
      <c r="G226" s="38"/>
      <c r="H226" s="38"/>
      <c r="I226" s="38"/>
      <c r="J226" s="38">
        <f t="shared" si="25"/>
        <v>0</v>
      </c>
      <c r="K226" s="38"/>
      <c r="L226" s="38"/>
      <c r="M226" s="38"/>
      <c r="N226" s="38"/>
      <c r="O226" s="38"/>
      <c r="P226" s="56">
        <f t="shared" si="24"/>
        <v>0</v>
      </c>
      <c r="Q226" s="54"/>
      <c r="R226" s="60"/>
      <c r="W226" s="54"/>
    </row>
    <row r="227" spans="1:23" ht="25.5" hidden="1">
      <c r="A227" s="40"/>
      <c r="B227" s="40"/>
      <c r="C227" s="40"/>
      <c r="D227" s="36" t="s">
        <v>382</v>
      </c>
      <c r="E227" s="38">
        <f t="shared" si="26"/>
        <v>0</v>
      </c>
      <c r="F227" s="38"/>
      <c r="G227" s="38"/>
      <c r="H227" s="38"/>
      <c r="I227" s="38"/>
      <c r="J227" s="38"/>
      <c r="K227" s="38"/>
      <c r="L227" s="38"/>
      <c r="M227" s="38"/>
      <c r="N227" s="38"/>
      <c r="O227" s="38"/>
      <c r="P227" s="56">
        <f t="shared" si="24"/>
        <v>0</v>
      </c>
      <c r="Q227" s="54"/>
      <c r="R227" s="60"/>
      <c r="W227" s="54"/>
    </row>
    <row r="228" spans="1:23" ht="12.75">
      <c r="A228" s="40"/>
      <c r="B228" s="40" t="s">
        <v>394</v>
      </c>
      <c r="C228" s="76" t="s">
        <v>34</v>
      </c>
      <c r="D228" s="36" t="s">
        <v>395</v>
      </c>
      <c r="E228" s="38">
        <f t="shared" si="26"/>
        <v>1231380</v>
      </c>
      <c r="F228" s="38">
        <f>1084480+99500+47400</f>
        <v>1231380</v>
      </c>
      <c r="G228" s="38"/>
      <c r="H228" s="38"/>
      <c r="I228" s="38"/>
      <c r="J228" s="38"/>
      <c r="K228" s="38"/>
      <c r="L228" s="38"/>
      <c r="M228" s="38"/>
      <c r="N228" s="38"/>
      <c r="O228" s="38"/>
      <c r="P228" s="56">
        <f t="shared" si="24"/>
        <v>1231380</v>
      </c>
      <c r="Q228" s="54"/>
      <c r="R228" s="60"/>
      <c r="W228" s="54"/>
    </row>
    <row r="229" spans="1:23" ht="25.5">
      <c r="A229" s="40"/>
      <c r="B229" s="40">
        <v>110502</v>
      </c>
      <c r="C229" s="76" t="s">
        <v>35</v>
      </c>
      <c r="D229" s="36" t="s">
        <v>278</v>
      </c>
      <c r="E229" s="38">
        <f t="shared" si="26"/>
        <v>3588008</v>
      </c>
      <c r="F229" s="38">
        <f>3528208+32400+27400</f>
        <v>3588008</v>
      </c>
      <c r="G229" s="38">
        <f>1302574+20200</f>
        <v>1322774</v>
      </c>
      <c r="H229" s="38">
        <v>83067</v>
      </c>
      <c r="I229" s="38"/>
      <c r="J229" s="38">
        <f t="shared" si="25"/>
        <v>51660</v>
      </c>
      <c r="K229" s="38">
        <v>660</v>
      </c>
      <c r="L229" s="38"/>
      <c r="M229" s="38">
        <v>60</v>
      </c>
      <c r="N229" s="38">
        <f>O229</f>
        <v>51000</v>
      </c>
      <c r="O229" s="38">
        <v>51000</v>
      </c>
      <c r="P229" s="56">
        <f t="shared" si="24"/>
        <v>3639668</v>
      </c>
      <c r="Q229" s="54"/>
      <c r="R229" s="60"/>
      <c r="W229" s="54"/>
    </row>
    <row r="230" spans="1:23" ht="12.75">
      <c r="A230" s="40"/>
      <c r="B230" s="40" t="s">
        <v>367</v>
      </c>
      <c r="C230" s="40"/>
      <c r="D230" s="36" t="s">
        <v>282</v>
      </c>
      <c r="E230" s="38">
        <f t="shared" si="26"/>
        <v>0</v>
      </c>
      <c r="F230" s="38"/>
      <c r="G230" s="38"/>
      <c r="H230" s="38"/>
      <c r="I230" s="38"/>
      <c r="J230" s="38">
        <f t="shared" si="25"/>
        <v>172519</v>
      </c>
      <c r="K230" s="38"/>
      <c r="L230" s="38"/>
      <c r="M230" s="38"/>
      <c r="N230" s="38">
        <f>N231</f>
        <v>172519</v>
      </c>
      <c r="O230" s="38">
        <f>O231</f>
        <v>172519</v>
      </c>
      <c r="P230" s="56">
        <f t="shared" si="24"/>
        <v>172519</v>
      </c>
      <c r="Q230" s="54"/>
      <c r="R230" s="60"/>
      <c r="W230" s="54"/>
    </row>
    <row r="231" spans="1:23" s="55" customFormat="1" ht="12.75">
      <c r="A231" s="40"/>
      <c r="B231" s="40" t="s">
        <v>338</v>
      </c>
      <c r="C231" s="76" t="s">
        <v>6</v>
      </c>
      <c r="D231" s="36" t="s">
        <v>339</v>
      </c>
      <c r="E231" s="38">
        <f t="shared" si="26"/>
        <v>0</v>
      </c>
      <c r="F231" s="38"/>
      <c r="G231" s="38"/>
      <c r="H231" s="38"/>
      <c r="I231" s="38"/>
      <c r="J231" s="38">
        <f t="shared" si="25"/>
        <v>172519</v>
      </c>
      <c r="K231" s="38"/>
      <c r="L231" s="38"/>
      <c r="M231" s="38"/>
      <c r="N231" s="38">
        <f>O231</f>
        <v>172519</v>
      </c>
      <c r="O231" s="78">
        <f>157847+14672</f>
        <v>172519</v>
      </c>
      <c r="P231" s="56">
        <f t="shared" si="24"/>
        <v>172519</v>
      </c>
      <c r="Q231" s="54"/>
      <c r="R231" s="54"/>
      <c r="W231" s="54"/>
    </row>
    <row r="232" spans="1:23" s="58" customFormat="1" ht="12.75" hidden="1">
      <c r="A232" s="40"/>
      <c r="B232" s="40" t="s">
        <v>370</v>
      </c>
      <c r="C232" s="40"/>
      <c r="D232" s="36" t="s">
        <v>374</v>
      </c>
      <c r="E232" s="38">
        <f>E233</f>
        <v>0</v>
      </c>
      <c r="F232" s="38"/>
      <c r="G232" s="38">
        <f>G233</f>
        <v>0</v>
      </c>
      <c r="H232" s="38">
        <f>H233</f>
        <v>0</v>
      </c>
      <c r="I232" s="38"/>
      <c r="J232" s="38">
        <f t="shared" si="25"/>
        <v>0</v>
      </c>
      <c r="K232" s="38">
        <f>K233</f>
        <v>0</v>
      </c>
      <c r="L232" s="38">
        <f>L233</f>
        <v>0</v>
      </c>
      <c r="M232" s="38">
        <f>M233</f>
        <v>0</v>
      </c>
      <c r="N232" s="38">
        <f>N233</f>
        <v>0</v>
      </c>
      <c r="O232" s="38">
        <f>O233</f>
        <v>0</v>
      </c>
      <c r="P232" s="56">
        <f t="shared" si="24"/>
        <v>0</v>
      </c>
      <c r="Q232" s="54"/>
      <c r="R232" s="57"/>
      <c r="W232" s="54"/>
    </row>
    <row r="233" spans="1:23" ht="25.5" hidden="1">
      <c r="A233" s="40"/>
      <c r="B233" s="40" t="s">
        <v>286</v>
      </c>
      <c r="C233" s="40"/>
      <c r="D233" s="61" t="s">
        <v>333</v>
      </c>
      <c r="E233" s="38"/>
      <c r="F233" s="38"/>
      <c r="G233" s="38"/>
      <c r="H233" s="38"/>
      <c r="I233" s="38"/>
      <c r="J233" s="38">
        <f t="shared" si="25"/>
        <v>0</v>
      </c>
      <c r="K233" s="38"/>
      <c r="L233" s="38"/>
      <c r="M233" s="38"/>
      <c r="N233" s="38"/>
      <c r="O233" s="38"/>
      <c r="P233" s="56">
        <f t="shared" si="24"/>
        <v>0</v>
      </c>
      <c r="Q233" s="54"/>
      <c r="R233" s="60"/>
      <c r="W233" s="54"/>
    </row>
    <row r="234" spans="1:23" ht="25.5" hidden="1">
      <c r="A234" s="40"/>
      <c r="B234" s="40" t="s">
        <v>372</v>
      </c>
      <c r="C234" s="40"/>
      <c r="D234" s="44" t="s">
        <v>373</v>
      </c>
      <c r="E234" s="38">
        <f>E235</f>
        <v>0</v>
      </c>
      <c r="F234" s="38"/>
      <c r="G234" s="38">
        <f>G235</f>
        <v>0</v>
      </c>
      <c r="H234" s="38">
        <f>H235</f>
        <v>0</v>
      </c>
      <c r="I234" s="38"/>
      <c r="J234" s="38">
        <f t="shared" si="25"/>
        <v>0</v>
      </c>
      <c r="K234" s="38">
        <f>K235</f>
        <v>0</v>
      </c>
      <c r="L234" s="38">
        <f>L235</f>
        <v>0</v>
      </c>
      <c r="M234" s="38">
        <f>M235</f>
        <v>0</v>
      </c>
      <c r="N234" s="38">
        <f>N235</f>
        <v>0</v>
      </c>
      <c r="O234" s="38">
        <f>O235</f>
        <v>0</v>
      </c>
      <c r="P234" s="56">
        <f t="shared" si="24"/>
        <v>0</v>
      </c>
      <c r="Q234" s="54"/>
      <c r="R234" s="60"/>
      <c r="W234" s="54"/>
    </row>
    <row r="235" spans="1:23" ht="12.75" hidden="1">
      <c r="A235" s="40"/>
      <c r="B235" s="40" t="s">
        <v>287</v>
      </c>
      <c r="C235" s="40"/>
      <c r="D235" s="36" t="s">
        <v>316</v>
      </c>
      <c r="E235" s="38"/>
      <c r="F235" s="38"/>
      <c r="G235" s="38"/>
      <c r="H235" s="38"/>
      <c r="I235" s="38"/>
      <c r="J235" s="38">
        <f t="shared" si="25"/>
        <v>0</v>
      </c>
      <c r="K235" s="38"/>
      <c r="L235" s="38"/>
      <c r="M235" s="38"/>
      <c r="N235" s="38"/>
      <c r="O235" s="38"/>
      <c r="P235" s="56">
        <f t="shared" si="24"/>
        <v>0</v>
      </c>
      <c r="Q235" s="54"/>
      <c r="R235" s="60"/>
      <c r="W235" s="54"/>
    </row>
    <row r="236" spans="1:23" ht="12.75" hidden="1">
      <c r="A236" s="40"/>
      <c r="B236" s="40"/>
      <c r="C236" s="40"/>
      <c r="D236" s="61"/>
      <c r="E236" s="38"/>
      <c r="F236" s="38"/>
      <c r="G236" s="38"/>
      <c r="H236" s="38"/>
      <c r="I236" s="38"/>
      <c r="J236" s="38"/>
      <c r="K236" s="38"/>
      <c r="L236" s="38"/>
      <c r="M236" s="38"/>
      <c r="N236" s="38"/>
      <c r="O236" s="38"/>
      <c r="P236" s="56">
        <f t="shared" si="24"/>
        <v>0</v>
      </c>
      <c r="Q236" s="54"/>
      <c r="R236" s="60"/>
      <c r="W236" s="54"/>
    </row>
    <row r="237" spans="1:23" ht="25.5" hidden="1">
      <c r="A237" s="100"/>
      <c r="B237" s="100" t="s">
        <v>228</v>
      </c>
      <c r="C237" s="100"/>
      <c r="D237" s="111" t="s">
        <v>229</v>
      </c>
      <c r="E237" s="52">
        <f>E238</f>
        <v>0</v>
      </c>
      <c r="F237" s="52"/>
      <c r="G237" s="52">
        <f aca="true" t="shared" si="27" ref="G237:O237">G238</f>
        <v>0</v>
      </c>
      <c r="H237" s="52">
        <f t="shared" si="27"/>
        <v>0</v>
      </c>
      <c r="I237" s="52"/>
      <c r="J237" s="52">
        <f t="shared" si="27"/>
        <v>0</v>
      </c>
      <c r="K237" s="52">
        <f t="shared" si="27"/>
        <v>0</v>
      </c>
      <c r="L237" s="52">
        <f t="shared" si="27"/>
        <v>0</v>
      </c>
      <c r="M237" s="52">
        <f t="shared" si="27"/>
        <v>0</v>
      </c>
      <c r="N237" s="52">
        <f t="shared" si="27"/>
        <v>0</v>
      </c>
      <c r="O237" s="52">
        <f t="shared" si="27"/>
        <v>0</v>
      </c>
      <c r="P237" s="53">
        <f aca="true" t="shared" si="28" ref="P237:P244">E237+J237</f>
        <v>0</v>
      </c>
      <c r="Q237" s="54"/>
      <c r="R237" s="60"/>
      <c r="W237" s="54"/>
    </row>
    <row r="238" spans="1:23" ht="12.75" hidden="1">
      <c r="A238" s="43"/>
      <c r="B238" s="43" t="s">
        <v>363</v>
      </c>
      <c r="C238" s="43"/>
      <c r="D238" s="65" t="s">
        <v>364</v>
      </c>
      <c r="E238" s="37">
        <f>E239</f>
        <v>0</v>
      </c>
      <c r="F238" s="37"/>
      <c r="G238" s="37">
        <f>G239</f>
        <v>0</v>
      </c>
      <c r="H238" s="37">
        <f>H239</f>
        <v>0</v>
      </c>
      <c r="I238" s="37"/>
      <c r="J238" s="38">
        <f>K238+N238</f>
        <v>0</v>
      </c>
      <c r="K238" s="38"/>
      <c r="L238" s="38"/>
      <c r="M238" s="38"/>
      <c r="N238" s="38">
        <f>O238</f>
        <v>0</v>
      </c>
      <c r="O238" s="78">
        <f>O239</f>
        <v>0</v>
      </c>
      <c r="P238" s="56">
        <f t="shared" si="28"/>
        <v>0</v>
      </c>
      <c r="Q238" s="54"/>
      <c r="R238" s="60"/>
      <c r="W238" s="54"/>
    </row>
    <row r="239" spans="1:23" ht="12.75" hidden="1">
      <c r="A239" s="40"/>
      <c r="B239" s="40" t="s">
        <v>248</v>
      </c>
      <c r="C239" s="40"/>
      <c r="D239" s="77" t="s">
        <v>249</v>
      </c>
      <c r="E239" s="38">
        <f>75441-75441</f>
        <v>0</v>
      </c>
      <c r="F239" s="38"/>
      <c r="G239" s="38">
        <f>39554-39554</f>
        <v>0</v>
      </c>
      <c r="H239" s="38"/>
      <c r="I239" s="38"/>
      <c r="J239" s="38">
        <f>K239+N239</f>
        <v>0</v>
      </c>
      <c r="K239" s="38"/>
      <c r="L239" s="38"/>
      <c r="M239" s="38"/>
      <c r="N239" s="38">
        <f>O239</f>
        <v>0</v>
      </c>
      <c r="O239" s="38">
        <f>25000-25000</f>
        <v>0</v>
      </c>
      <c r="P239" s="56">
        <f t="shared" si="28"/>
        <v>0</v>
      </c>
      <c r="Q239" s="54"/>
      <c r="R239" s="60"/>
      <c r="W239" s="54"/>
    </row>
    <row r="240" spans="1:23" ht="38.25">
      <c r="A240" s="100"/>
      <c r="B240" s="100" t="s">
        <v>169</v>
      </c>
      <c r="C240" s="100"/>
      <c r="D240" s="111" t="s">
        <v>146</v>
      </c>
      <c r="E240" s="52">
        <f>E241+E245+E250+E248</f>
        <v>4091093</v>
      </c>
      <c r="F240" s="52">
        <f>F241+F245+F250+F248</f>
        <v>4091093</v>
      </c>
      <c r="G240" s="52">
        <f>G241+G245+G250+G248</f>
        <v>1858152</v>
      </c>
      <c r="H240" s="52">
        <f>H241+H245+H250+H248</f>
        <v>94531</v>
      </c>
      <c r="I240" s="52"/>
      <c r="J240" s="52">
        <f>K240+N240</f>
        <v>1261552</v>
      </c>
      <c r="K240" s="52">
        <f>K241+K245+K250+K248</f>
        <v>0</v>
      </c>
      <c r="L240" s="52">
        <f>L241+L245+L250+L248</f>
        <v>0</v>
      </c>
      <c r="M240" s="52">
        <f>M241+M245+M250+M248</f>
        <v>0</v>
      </c>
      <c r="N240" s="52">
        <f>N241+N245+N250+N248+N243</f>
        <v>1261552</v>
      </c>
      <c r="O240" s="52">
        <f>O241+O245+O250+O248+O243</f>
        <v>1261552</v>
      </c>
      <c r="P240" s="53">
        <f t="shared" si="28"/>
        <v>5352645</v>
      </c>
      <c r="Q240" s="54"/>
      <c r="R240" s="60"/>
      <c r="W240" s="54"/>
    </row>
    <row r="241" spans="1:23" ht="12.75">
      <c r="A241" s="43"/>
      <c r="B241" s="43" t="s">
        <v>363</v>
      </c>
      <c r="C241" s="43"/>
      <c r="D241" s="44" t="s">
        <v>364</v>
      </c>
      <c r="E241" s="37">
        <f>E242</f>
        <v>2900545</v>
      </c>
      <c r="F241" s="37">
        <f>F242</f>
        <v>2900545</v>
      </c>
      <c r="G241" s="37">
        <f>G242</f>
        <v>1858152</v>
      </c>
      <c r="H241" s="37">
        <f>H242</f>
        <v>94531</v>
      </c>
      <c r="I241" s="37"/>
      <c r="J241" s="38">
        <f aca="true" t="shared" si="29" ref="J241:J249">K241+N241</f>
        <v>0</v>
      </c>
      <c r="K241" s="37"/>
      <c r="L241" s="37"/>
      <c r="M241" s="37"/>
      <c r="N241" s="37">
        <f>N242</f>
        <v>0</v>
      </c>
      <c r="O241" s="37">
        <f>O242</f>
        <v>0</v>
      </c>
      <c r="P241" s="56">
        <f t="shared" si="28"/>
        <v>2900545</v>
      </c>
      <c r="Q241" s="54"/>
      <c r="R241" s="60"/>
      <c r="W241" s="54"/>
    </row>
    <row r="242" spans="1:23" ht="12.75">
      <c r="A242" s="40"/>
      <c r="B242" s="40" t="s">
        <v>248</v>
      </c>
      <c r="C242" s="76" t="s">
        <v>4</v>
      </c>
      <c r="D242" s="59" t="s">
        <v>249</v>
      </c>
      <c r="E242" s="38">
        <f>F242+I242</f>
        <v>2900545</v>
      </c>
      <c r="F242" s="38">
        <f>2608148+292397</f>
        <v>2900545</v>
      </c>
      <c r="G242" s="38">
        <f>1643627+214525</f>
        <v>1858152</v>
      </c>
      <c r="H242" s="38">
        <v>94531</v>
      </c>
      <c r="I242" s="38"/>
      <c r="J242" s="38">
        <f t="shared" si="29"/>
        <v>0</v>
      </c>
      <c r="K242" s="38"/>
      <c r="L242" s="38"/>
      <c r="M242" s="38"/>
      <c r="N242" s="38">
        <f>O242</f>
        <v>0</v>
      </c>
      <c r="O242" s="38"/>
      <c r="P242" s="56">
        <f t="shared" si="28"/>
        <v>2900545</v>
      </c>
      <c r="Q242" s="54"/>
      <c r="R242" s="60"/>
      <c r="W242" s="54"/>
    </row>
    <row r="243" spans="1:23" ht="12.75">
      <c r="A243" s="40"/>
      <c r="B243" s="40" t="s">
        <v>367</v>
      </c>
      <c r="C243" s="40"/>
      <c r="D243" s="36" t="s">
        <v>282</v>
      </c>
      <c r="E243" s="38"/>
      <c r="F243" s="38"/>
      <c r="G243" s="38"/>
      <c r="H243" s="38"/>
      <c r="I243" s="38"/>
      <c r="J243" s="38">
        <f t="shared" si="29"/>
        <v>1261552</v>
      </c>
      <c r="K243" s="38"/>
      <c r="L243" s="38"/>
      <c r="M243" s="38"/>
      <c r="N243" s="38">
        <f>N244</f>
        <v>1261552</v>
      </c>
      <c r="O243" s="38">
        <f>O244</f>
        <v>1261552</v>
      </c>
      <c r="P243" s="56">
        <f t="shared" si="28"/>
        <v>1261552</v>
      </c>
      <c r="Q243" s="54"/>
      <c r="R243" s="60"/>
      <c r="W243" s="54"/>
    </row>
    <row r="244" spans="1:23" ht="12.75">
      <c r="A244" s="40"/>
      <c r="B244" s="40" t="s">
        <v>338</v>
      </c>
      <c r="C244" s="76" t="s">
        <v>6</v>
      </c>
      <c r="D244" s="36" t="s">
        <v>339</v>
      </c>
      <c r="E244" s="38"/>
      <c r="F244" s="38"/>
      <c r="G244" s="38"/>
      <c r="H244" s="38"/>
      <c r="I244" s="38"/>
      <c r="J244" s="38">
        <f t="shared" si="29"/>
        <v>1261552</v>
      </c>
      <c r="K244" s="38"/>
      <c r="L244" s="38"/>
      <c r="M244" s="38"/>
      <c r="N244" s="38">
        <f>O244</f>
        <v>1261552</v>
      </c>
      <c r="O244" s="78">
        <f>305245+956307</f>
        <v>1261552</v>
      </c>
      <c r="P244" s="56">
        <f t="shared" si="28"/>
        <v>1261552</v>
      </c>
      <c r="Q244" s="54"/>
      <c r="R244" s="60"/>
      <c r="W244" s="54"/>
    </row>
    <row r="245" spans="1:23" ht="25.5">
      <c r="A245" s="40"/>
      <c r="B245" s="40" t="s">
        <v>377</v>
      </c>
      <c r="C245" s="40"/>
      <c r="D245" s="59" t="s">
        <v>378</v>
      </c>
      <c r="E245" s="97">
        <f>E246</f>
        <v>624000</v>
      </c>
      <c r="F245" s="97">
        <f>F246</f>
        <v>624000</v>
      </c>
      <c r="G245" s="38">
        <f aca="true" t="shared" si="30" ref="G245:O245">G246</f>
        <v>0</v>
      </c>
      <c r="H245" s="38">
        <f t="shared" si="30"/>
        <v>0</v>
      </c>
      <c r="I245" s="38"/>
      <c r="J245" s="38">
        <f t="shared" si="30"/>
        <v>0</v>
      </c>
      <c r="K245" s="38">
        <f t="shared" si="30"/>
        <v>0</v>
      </c>
      <c r="L245" s="38">
        <f t="shared" si="30"/>
        <v>0</v>
      </c>
      <c r="M245" s="38">
        <f t="shared" si="30"/>
        <v>0</v>
      </c>
      <c r="N245" s="38">
        <f t="shared" si="30"/>
        <v>0</v>
      </c>
      <c r="O245" s="38">
        <f t="shared" si="30"/>
        <v>0</v>
      </c>
      <c r="P245" s="98">
        <f>E245+J246</f>
        <v>624000</v>
      </c>
      <c r="Q245" s="54"/>
      <c r="R245" s="60"/>
      <c r="W245" s="54"/>
    </row>
    <row r="246" spans="1:23" ht="25.5">
      <c r="A246" s="40"/>
      <c r="B246" s="40" t="s">
        <v>283</v>
      </c>
      <c r="C246" s="76" t="s">
        <v>15</v>
      </c>
      <c r="D246" s="70" t="s">
        <v>107</v>
      </c>
      <c r="E246" s="38">
        <f>F246+I246</f>
        <v>624000</v>
      </c>
      <c r="F246" s="38">
        <f>150000+474000</f>
        <v>624000</v>
      </c>
      <c r="G246" s="38"/>
      <c r="H246" s="38"/>
      <c r="I246" s="38"/>
      <c r="J246" s="38">
        <f>K246+N246</f>
        <v>0</v>
      </c>
      <c r="K246" s="38"/>
      <c r="L246" s="38"/>
      <c r="M246" s="38"/>
      <c r="N246" s="38"/>
      <c r="O246" s="38"/>
      <c r="P246" s="56">
        <f>E246+J248</f>
        <v>624000</v>
      </c>
      <c r="Q246" s="54"/>
      <c r="R246" s="60"/>
      <c r="W246" s="54"/>
    </row>
    <row r="247" spans="1:23" s="55" customFormat="1" ht="25.5" hidden="1">
      <c r="A247" s="76"/>
      <c r="B247" s="76" t="s">
        <v>302</v>
      </c>
      <c r="C247" s="76"/>
      <c r="D247" s="70" t="s">
        <v>303</v>
      </c>
      <c r="E247" s="38"/>
      <c r="F247" s="38"/>
      <c r="G247" s="38"/>
      <c r="H247" s="38"/>
      <c r="I247" s="38"/>
      <c r="J247" s="38"/>
      <c r="K247" s="38"/>
      <c r="L247" s="38"/>
      <c r="M247" s="38"/>
      <c r="N247" s="38"/>
      <c r="O247" s="38"/>
      <c r="P247" s="56">
        <f>E247+J249</f>
        <v>0</v>
      </c>
      <c r="Q247" s="54"/>
      <c r="R247" s="54"/>
      <c r="W247" s="54"/>
    </row>
    <row r="248" spans="1:23" s="58" customFormat="1" ht="12.75" hidden="1">
      <c r="A248" s="40"/>
      <c r="B248" s="40" t="s">
        <v>370</v>
      </c>
      <c r="C248" s="40"/>
      <c r="D248" s="61" t="s">
        <v>374</v>
      </c>
      <c r="E248" s="38"/>
      <c r="F248" s="38"/>
      <c r="G248" s="38"/>
      <c r="H248" s="38"/>
      <c r="I248" s="38"/>
      <c r="J248" s="38">
        <f t="shared" si="29"/>
        <v>0</v>
      </c>
      <c r="K248" s="38">
        <f>K249</f>
        <v>0</v>
      </c>
      <c r="L248" s="38"/>
      <c r="M248" s="38"/>
      <c r="N248" s="38"/>
      <c r="O248" s="38"/>
      <c r="P248" s="56">
        <f>E248+J249</f>
        <v>0</v>
      </c>
      <c r="Q248" s="54"/>
      <c r="R248" s="57"/>
      <c r="W248" s="54"/>
    </row>
    <row r="249" spans="1:23" ht="25.5" hidden="1">
      <c r="A249" s="40"/>
      <c r="B249" s="40" t="s">
        <v>286</v>
      </c>
      <c r="C249" s="40"/>
      <c r="D249" s="61" t="s">
        <v>333</v>
      </c>
      <c r="E249" s="38"/>
      <c r="F249" s="38"/>
      <c r="G249" s="38"/>
      <c r="H249" s="38"/>
      <c r="I249" s="38"/>
      <c r="J249" s="38">
        <f t="shared" si="29"/>
        <v>0</v>
      </c>
      <c r="K249" s="38"/>
      <c r="L249" s="38"/>
      <c r="M249" s="38"/>
      <c r="N249" s="38"/>
      <c r="O249" s="38"/>
      <c r="P249" s="56">
        <f aca="true" t="shared" si="31" ref="P249:P295">E249+J249</f>
        <v>0</v>
      </c>
      <c r="Q249" s="54"/>
      <c r="R249" s="60"/>
      <c r="W249" s="54"/>
    </row>
    <row r="250" spans="1:23" ht="25.5">
      <c r="A250" s="40"/>
      <c r="B250" s="40" t="s">
        <v>372</v>
      </c>
      <c r="C250" s="40"/>
      <c r="D250" s="61" t="s">
        <v>373</v>
      </c>
      <c r="E250" s="38">
        <f>E251</f>
        <v>566548</v>
      </c>
      <c r="F250" s="38">
        <f>F251</f>
        <v>566548</v>
      </c>
      <c r="G250" s="38"/>
      <c r="H250" s="38"/>
      <c r="I250" s="38"/>
      <c r="J250" s="38"/>
      <c r="K250" s="38"/>
      <c r="L250" s="38"/>
      <c r="M250" s="38"/>
      <c r="N250" s="38"/>
      <c r="O250" s="38"/>
      <c r="P250" s="56">
        <f t="shared" si="31"/>
        <v>566548</v>
      </c>
      <c r="Q250" s="54"/>
      <c r="R250" s="60"/>
      <c r="W250" s="54"/>
    </row>
    <row r="251" spans="1:23" ht="12.75">
      <c r="A251" s="40"/>
      <c r="B251" s="40" t="s">
        <v>287</v>
      </c>
      <c r="C251" s="76" t="s">
        <v>7</v>
      </c>
      <c r="D251" s="36" t="s">
        <v>316</v>
      </c>
      <c r="E251" s="38">
        <f>F251+I251</f>
        <v>566548</v>
      </c>
      <c r="F251" s="38">
        <f>F252</f>
        <v>566548</v>
      </c>
      <c r="G251" s="38"/>
      <c r="H251" s="38"/>
      <c r="I251" s="38">
        <f>I252</f>
        <v>0</v>
      </c>
      <c r="J251" s="38"/>
      <c r="K251" s="38"/>
      <c r="L251" s="38"/>
      <c r="M251" s="38"/>
      <c r="N251" s="38"/>
      <c r="O251" s="38"/>
      <c r="P251" s="56">
        <f t="shared" si="31"/>
        <v>566548</v>
      </c>
      <c r="Q251" s="54"/>
      <c r="R251" s="60"/>
      <c r="W251" s="54"/>
    </row>
    <row r="252" spans="1:23" ht="25.5" hidden="1">
      <c r="A252" s="40"/>
      <c r="B252" s="40"/>
      <c r="C252" s="40"/>
      <c r="D252" s="36" t="s">
        <v>241</v>
      </c>
      <c r="E252" s="38">
        <f>F252+I252</f>
        <v>566548</v>
      </c>
      <c r="F252" s="38">
        <v>566548</v>
      </c>
      <c r="G252" s="38"/>
      <c r="H252" s="38"/>
      <c r="I252" s="38"/>
      <c r="J252" s="38"/>
      <c r="K252" s="38"/>
      <c r="L252" s="38"/>
      <c r="M252" s="38"/>
      <c r="N252" s="38"/>
      <c r="O252" s="38"/>
      <c r="P252" s="56">
        <f t="shared" si="31"/>
        <v>566548</v>
      </c>
      <c r="Q252" s="54"/>
      <c r="R252" s="60"/>
      <c r="W252" s="54"/>
    </row>
    <row r="253" spans="1:23" ht="24">
      <c r="A253" s="137"/>
      <c r="B253" s="137" t="s">
        <v>167</v>
      </c>
      <c r="C253" s="137"/>
      <c r="D253" s="113" t="s">
        <v>194</v>
      </c>
      <c r="E253" s="52">
        <f>E254+E256+E258+E275+E279+E282+E288+E284+E286+E297</f>
        <v>230554766</v>
      </c>
      <c r="F253" s="52">
        <f>F254+F256+F258+F275+F279+F282+F288+F284+F286+F297</f>
        <v>230554766</v>
      </c>
      <c r="G253" s="52">
        <f>G254+G256+G258+G275+G279+G282+G288+G284+G286+G297</f>
        <v>2825824</v>
      </c>
      <c r="H253" s="52">
        <f>H254+H256+H258+H275+H279+H282+H288+H284+H286+H297</f>
        <v>250944</v>
      </c>
      <c r="I253" s="52">
        <f>I254+I256+I258+I275+I279+I282+I288+I284+I286+I297</f>
        <v>0</v>
      </c>
      <c r="J253" s="52">
        <f>K253+N253</f>
        <v>399514669</v>
      </c>
      <c r="K253" s="52">
        <f>K254+K256+K258+K275+K279+K282+K288+K286</f>
        <v>372678</v>
      </c>
      <c r="L253" s="52">
        <f>L254+L256+L258+L275+L279+L282+L288+L286</f>
        <v>0</v>
      </c>
      <c r="M253" s="52">
        <f>M254+M256+M258+M275+M279+M282+M288+M286</f>
        <v>0</v>
      </c>
      <c r="N253" s="52">
        <f>N254+N256+N258+N275+N279+N282+N288+N286+N284</f>
        <v>399141991</v>
      </c>
      <c r="O253" s="52">
        <f>O254+O256+O258+O275+O279+O282+O288+O286+O284</f>
        <v>398277799</v>
      </c>
      <c r="P253" s="53">
        <f t="shared" si="31"/>
        <v>630069435</v>
      </c>
      <c r="Q253" s="54"/>
      <c r="R253" s="60"/>
      <c r="W253" s="54"/>
    </row>
    <row r="254" spans="1:23" ht="12.75">
      <c r="A254" s="43"/>
      <c r="B254" s="43" t="s">
        <v>363</v>
      </c>
      <c r="C254" s="43"/>
      <c r="D254" s="44" t="s">
        <v>364</v>
      </c>
      <c r="E254" s="37">
        <f>E255</f>
        <v>4510314</v>
      </c>
      <c r="F254" s="37">
        <f>F255</f>
        <v>4510314</v>
      </c>
      <c r="G254" s="37">
        <f>G255</f>
        <v>2825824</v>
      </c>
      <c r="H254" s="37">
        <f>H255</f>
        <v>250944</v>
      </c>
      <c r="I254" s="37"/>
      <c r="J254" s="38">
        <f>K254+N254</f>
        <v>0</v>
      </c>
      <c r="K254" s="37"/>
      <c r="L254" s="37"/>
      <c r="M254" s="37"/>
      <c r="N254" s="37">
        <f>N255</f>
        <v>0</v>
      </c>
      <c r="O254" s="37">
        <f>O255</f>
        <v>0</v>
      </c>
      <c r="P254" s="56">
        <f t="shared" si="31"/>
        <v>4510314</v>
      </c>
      <c r="Q254" s="54"/>
      <c r="R254" s="60"/>
      <c r="W254" s="54"/>
    </row>
    <row r="255" spans="1:23" ht="12.75">
      <c r="A255" s="40"/>
      <c r="B255" s="40" t="s">
        <v>248</v>
      </c>
      <c r="C255" s="76" t="s">
        <v>4</v>
      </c>
      <c r="D255" s="59" t="s">
        <v>249</v>
      </c>
      <c r="E255" s="38">
        <f>F255+I255</f>
        <v>4510314</v>
      </c>
      <c r="F255" s="38">
        <f>4501584+239+8491</f>
        <v>4510314</v>
      </c>
      <c r="G255" s="38">
        <f>2819608+6216</f>
        <v>2825824</v>
      </c>
      <c r="H255" s="38">
        <v>250944</v>
      </c>
      <c r="I255" s="38"/>
      <c r="J255" s="38">
        <f>K255+N255</f>
        <v>0</v>
      </c>
      <c r="K255" s="38"/>
      <c r="L255" s="38"/>
      <c r="M255" s="38"/>
      <c r="N255" s="78">
        <f>O255</f>
        <v>0</v>
      </c>
      <c r="O255" s="78"/>
      <c r="P255" s="56">
        <f t="shared" si="31"/>
        <v>4510314</v>
      </c>
      <c r="Q255" s="54"/>
      <c r="R255" s="60"/>
      <c r="W255" s="54"/>
    </row>
    <row r="256" spans="1:23" ht="25.5">
      <c r="A256" s="40"/>
      <c r="B256" s="40" t="s">
        <v>270</v>
      </c>
      <c r="C256" s="40"/>
      <c r="D256" s="59" t="s">
        <v>317</v>
      </c>
      <c r="E256" s="38">
        <f>E257</f>
        <v>221900</v>
      </c>
      <c r="F256" s="38">
        <f>F257</f>
        <v>221900</v>
      </c>
      <c r="G256" s="38">
        <f>G257</f>
        <v>0</v>
      </c>
      <c r="H256" s="38">
        <f>H257</f>
        <v>0</v>
      </c>
      <c r="I256" s="38"/>
      <c r="J256" s="38">
        <f aca="true" t="shared" si="32" ref="J256:J297">K256+N256</f>
        <v>0</v>
      </c>
      <c r="K256" s="38"/>
      <c r="L256" s="38"/>
      <c r="M256" s="38"/>
      <c r="N256" s="78"/>
      <c r="O256" s="78"/>
      <c r="P256" s="56">
        <f t="shared" si="31"/>
        <v>221900</v>
      </c>
      <c r="Q256" s="54"/>
      <c r="R256" s="60"/>
      <c r="W256" s="54"/>
    </row>
    <row r="257" spans="1:23" ht="25.5">
      <c r="A257" s="40"/>
      <c r="B257" s="40" t="s">
        <v>271</v>
      </c>
      <c r="C257" s="76" t="s">
        <v>28</v>
      </c>
      <c r="D257" s="36" t="s">
        <v>331</v>
      </c>
      <c r="E257" s="38">
        <f>F257+I257</f>
        <v>221900</v>
      </c>
      <c r="F257" s="38">
        <v>221900</v>
      </c>
      <c r="G257" s="38"/>
      <c r="H257" s="38"/>
      <c r="I257" s="38"/>
      <c r="J257" s="38">
        <f t="shared" si="32"/>
        <v>0</v>
      </c>
      <c r="K257" s="38"/>
      <c r="L257" s="38"/>
      <c r="M257" s="38"/>
      <c r="N257" s="78"/>
      <c r="O257" s="78"/>
      <c r="P257" s="56">
        <f t="shared" si="31"/>
        <v>221900</v>
      </c>
      <c r="Q257" s="54"/>
      <c r="R257" s="60"/>
      <c r="W257" s="54"/>
    </row>
    <row r="258" spans="1:23" ht="12.75">
      <c r="A258" s="40"/>
      <c r="B258" s="40" t="s">
        <v>375</v>
      </c>
      <c r="C258" s="40"/>
      <c r="D258" s="36" t="s">
        <v>376</v>
      </c>
      <c r="E258" s="38">
        <f>E259+E268+E269+E270+E273</f>
        <v>94163126</v>
      </c>
      <c r="F258" s="38">
        <f>F259+F268+F269+F270+F273</f>
        <v>94163126</v>
      </c>
      <c r="G258" s="38">
        <f>G259+G268+G269+G270+G273</f>
        <v>0</v>
      </c>
      <c r="H258" s="38">
        <f>H259+H268+H269+H270+H273</f>
        <v>0</v>
      </c>
      <c r="I258" s="38"/>
      <c r="J258" s="38">
        <f>K258+N258</f>
        <v>229080227</v>
      </c>
      <c r="K258" s="38">
        <f>K259+K268+K269+K270+K273+K271</f>
        <v>0</v>
      </c>
      <c r="L258" s="38">
        <f>L259+L268+L269+L270+L273</f>
        <v>0</v>
      </c>
      <c r="M258" s="38">
        <f>M259+M268+M269+M270+M273</f>
        <v>0</v>
      </c>
      <c r="N258" s="38">
        <f>N259+N268+N269+N270+N273</f>
        <v>229080227</v>
      </c>
      <c r="O258" s="38">
        <f>O259+O268+O269+O270+O273</f>
        <v>229080227</v>
      </c>
      <c r="P258" s="56">
        <f>E258+J258</f>
        <v>323243353</v>
      </c>
      <c r="Q258" s="54"/>
      <c r="R258" s="60"/>
      <c r="W258" s="54"/>
    </row>
    <row r="259" spans="1:23" ht="23.25" customHeight="1">
      <c r="A259" s="76"/>
      <c r="B259" s="76" t="s">
        <v>195</v>
      </c>
      <c r="C259" s="76" t="s">
        <v>36</v>
      </c>
      <c r="D259" s="77" t="s">
        <v>196</v>
      </c>
      <c r="E259" s="38">
        <f>SUM(E260:E267)</f>
        <v>35031682</v>
      </c>
      <c r="F259" s="38">
        <f>SUM(F260:F267)</f>
        <v>35031682</v>
      </c>
      <c r="G259" s="38"/>
      <c r="H259" s="38"/>
      <c r="I259" s="38"/>
      <c r="J259" s="38">
        <f t="shared" si="32"/>
        <v>0</v>
      </c>
      <c r="K259" s="38"/>
      <c r="L259" s="38"/>
      <c r="M259" s="38"/>
      <c r="N259" s="78"/>
      <c r="O259" s="78"/>
      <c r="P259" s="56">
        <f t="shared" si="31"/>
        <v>35031682</v>
      </c>
      <c r="Q259" s="54"/>
      <c r="R259" s="60"/>
      <c r="W259" s="54"/>
    </row>
    <row r="260" spans="1:23" ht="25.5" customHeight="1" hidden="1">
      <c r="A260" s="76"/>
      <c r="B260" s="76"/>
      <c r="C260" s="76"/>
      <c r="D260" s="77" t="s">
        <v>197</v>
      </c>
      <c r="E260" s="38">
        <f>F260+I260</f>
        <v>30490514</v>
      </c>
      <c r="F260" s="38">
        <f>10000000+90514+20000000+(400000)</f>
        <v>30490514</v>
      </c>
      <c r="G260" s="38"/>
      <c r="H260" s="38"/>
      <c r="I260" s="38"/>
      <c r="J260" s="38">
        <f t="shared" si="32"/>
        <v>0</v>
      </c>
      <c r="K260" s="38"/>
      <c r="L260" s="38"/>
      <c r="M260" s="38"/>
      <c r="N260" s="78"/>
      <c r="O260" s="78"/>
      <c r="P260" s="56">
        <f>E260+J260</f>
        <v>30490514</v>
      </c>
      <c r="Q260" s="54"/>
      <c r="R260" s="60"/>
      <c r="W260" s="54"/>
    </row>
    <row r="261" spans="1:23" ht="53.25" customHeight="1" hidden="1">
      <c r="A261" s="40"/>
      <c r="B261" s="40"/>
      <c r="C261" s="40"/>
      <c r="D261" s="70" t="s">
        <v>198</v>
      </c>
      <c r="E261" s="38">
        <f aca="true" t="shared" si="33" ref="E261:E267">F261+I261</f>
        <v>489168</v>
      </c>
      <c r="F261" s="38">
        <f>460440+28728</f>
        <v>489168</v>
      </c>
      <c r="G261" s="38"/>
      <c r="H261" s="38"/>
      <c r="I261" s="38"/>
      <c r="J261" s="38">
        <f t="shared" si="32"/>
        <v>0</v>
      </c>
      <c r="K261" s="38"/>
      <c r="L261" s="38"/>
      <c r="M261" s="38"/>
      <c r="N261" s="38"/>
      <c r="O261" s="38"/>
      <c r="P261" s="56">
        <f t="shared" si="31"/>
        <v>489168</v>
      </c>
      <c r="Q261" s="54"/>
      <c r="R261" s="60"/>
      <c r="W261" s="54"/>
    </row>
    <row r="262" spans="1:23" ht="53.25" customHeight="1" hidden="1">
      <c r="A262" s="40"/>
      <c r="B262" s="40"/>
      <c r="C262" s="40"/>
      <c r="D262" s="70" t="s">
        <v>425</v>
      </c>
      <c r="E262" s="38">
        <f>F262</f>
        <v>4000000</v>
      </c>
      <c r="F262" s="38">
        <v>4000000</v>
      </c>
      <c r="G262" s="38"/>
      <c r="H262" s="38"/>
      <c r="I262" s="38"/>
      <c r="J262" s="38"/>
      <c r="K262" s="38"/>
      <c r="L262" s="38"/>
      <c r="M262" s="38"/>
      <c r="N262" s="38"/>
      <c r="O262" s="38"/>
      <c r="P262" s="56">
        <f t="shared" si="31"/>
        <v>4000000</v>
      </c>
      <c r="Q262" s="54"/>
      <c r="R262" s="60"/>
      <c r="W262" s="54"/>
    </row>
    <row r="263" spans="1:23" ht="53.25" customHeight="1" hidden="1">
      <c r="A263" s="40"/>
      <c r="B263" s="40"/>
      <c r="C263" s="40"/>
      <c r="D263" s="70" t="s">
        <v>1</v>
      </c>
      <c r="E263" s="38">
        <v>52000</v>
      </c>
      <c r="F263" s="38">
        <v>52000</v>
      </c>
      <c r="G263" s="38"/>
      <c r="H263" s="38"/>
      <c r="I263" s="38"/>
      <c r="J263" s="38"/>
      <c r="K263" s="38"/>
      <c r="L263" s="38"/>
      <c r="M263" s="38"/>
      <c r="N263" s="38"/>
      <c r="O263" s="38"/>
      <c r="P263" s="56"/>
      <c r="Q263" s="54"/>
      <c r="R263" s="60"/>
      <c r="W263" s="54"/>
    </row>
    <row r="264" spans="1:23" ht="41.25" customHeight="1" hidden="1">
      <c r="A264" s="40"/>
      <c r="B264" s="40"/>
      <c r="C264" s="40"/>
      <c r="D264" s="70" t="s">
        <v>212</v>
      </c>
      <c r="E264" s="38">
        <f t="shared" si="33"/>
        <v>0</v>
      </c>
      <c r="F264" s="38"/>
      <c r="G264" s="38"/>
      <c r="H264" s="38"/>
      <c r="I264" s="38"/>
      <c r="J264" s="38"/>
      <c r="K264" s="38"/>
      <c r="L264" s="38"/>
      <c r="M264" s="38"/>
      <c r="N264" s="38"/>
      <c r="O264" s="38"/>
      <c r="P264" s="56">
        <f t="shared" si="31"/>
        <v>0</v>
      </c>
      <c r="Q264" s="54"/>
      <c r="R264" s="60"/>
      <c r="W264" s="54"/>
    </row>
    <row r="265" spans="1:23" ht="53.25" customHeight="1" hidden="1">
      <c r="A265" s="40"/>
      <c r="B265" s="40"/>
      <c r="C265" s="40"/>
      <c r="D265" s="70" t="s">
        <v>213</v>
      </c>
      <c r="E265" s="38">
        <f t="shared" si="33"/>
        <v>0</v>
      </c>
      <c r="F265" s="38"/>
      <c r="G265" s="38"/>
      <c r="H265" s="38"/>
      <c r="I265" s="38"/>
      <c r="J265" s="38"/>
      <c r="K265" s="38"/>
      <c r="L265" s="38"/>
      <c r="M265" s="38"/>
      <c r="N265" s="38"/>
      <c r="O265" s="38"/>
      <c r="P265" s="56">
        <f>E265+J265</f>
        <v>0</v>
      </c>
      <c r="Q265" s="54"/>
      <c r="R265" s="60"/>
      <c r="W265" s="54"/>
    </row>
    <row r="266" spans="1:23" ht="25.5" hidden="1">
      <c r="A266" s="40"/>
      <c r="B266" s="40"/>
      <c r="C266" s="40"/>
      <c r="D266" s="70" t="s">
        <v>144</v>
      </c>
      <c r="E266" s="38">
        <f t="shared" si="33"/>
        <v>0</v>
      </c>
      <c r="F266" s="38"/>
      <c r="G266" s="38"/>
      <c r="H266" s="38"/>
      <c r="I266" s="38"/>
      <c r="J266" s="38"/>
      <c r="K266" s="38"/>
      <c r="L266" s="38"/>
      <c r="M266" s="38"/>
      <c r="N266" s="38"/>
      <c r="O266" s="38"/>
      <c r="P266" s="56"/>
      <c r="Q266" s="54"/>
      <c r="R266" s="60"/>
      <c r="W266" s="54"/>
    </row>
    <row r="267" spans="1:23" ht="25.5" hidden="1">
      <c r="A267" s="40"/>
      <c r="B267" s="40"/>
      <c r="C267" s="40"/>
      <c r="D267" s="70" t="s">
        <v>220</v>
      </c>
      <c r="E267" s="38">
        <f t="shared" si="33"/>
        <v>0</v>
      </c>
      <c r="F267" s="38"/>
      <c r="G267" s="38"/>
      <c r="H267" s="38"/>
      <c r="I267" s="38"/>
      <c r="J267" s="38"/>
      <c r="K267" s="38"/>
      <c r="L267" s="38"/>
      <c r="M267" s="38"/>
      <c r="N267" s="38"/>
      <c r="O267" s="38"/>
      <c r="P267" s="56">
        <f>E267+J267</f>
        <v>0</v>
      </c>
      <c r="Q267" s="54"/>
      <c r="R267" s="60"/>
      <c r="W267" s="54"/>
    </row>
    <row r="268" spans="1:23" ht="25.5">
      <c r="A268" s="76"/>
      <c r="B268" s="76" t="s">
        <v>388</v>
      </c>
      <c r="C268" s="76" t="s">
        <v>36</v>
      </c>
      <c r="D268" s="70" t="s">
        <v>98</v>
      </c>
      <c r="E268" s="38">
        <f>F268+I268</f>
        <v>0</v>
      </c>
      <c r="F268" s="38"/>
      <c r="G268" s="38"/>
      <c r="H268" s="38"/>
      <c r="I268" s="38"/>
      <c r="J268" s="38">
        <f t="shared" si="32"/>
        <v>224991173</v>
      </c>
      <c r="K268" s="38"/>
      <c r="L268" s="38"/>
      <c r="M268" s="38"/>
      <c r="N268" s="38">
        <f>O268</f>
        <v>224991173</v>
      </c>
      <c r="O268" s="78">
        <f>82938238+171048603-24792831-2500000+(395000)-(40000)-(85000)+43570-777359+10952-(143680)-(106320)-1000000</f>
        <v>224991173</v>
      </c>
      <c r="P268" s="56">
        <f t="shared" si="31"/>
        <v>224991173</v>
      </c>
      <c r="Q268" s="54"/>
      <c r="R268" s="60"/>
      <c r="W268" s="54"/>
    </row>
    <row r="269" spans="1:23" ht="25.5" hidden="1">
      <c r="A269" s="76"/>
      <c r="B269" s="76" t="s">
        <v>62</v>
      </c>
      <c r="C269" s="76"/>
      <c r="D269" s="70" t="s">
        <v>63</v>
      </c>
      <c r="E269" s="38">
        <f>449300-449300</f>
        <v>0</v>
      </c>
      <c r="F269" s="38"/>
      <c r="G269" s="38"/>
      <c r="H269" s="38"/>
      <c r="I269" s="38"/>
      <c r="J269" s="38">
        <f t="shared" si="32"/>
        <v>0</v>
      </c>
      <c r="K269" s="38"/>
      <c r="L269" s="38"/>
      <c r="M269" s="38"/>
      <c r="N269" s="38"/>
      <c r="O269" s="78"/>
      <c r="P269" s="56">
        <f t="shared" si="31"/>
        <v>0</v>
      </c>
      <c r="Q269" s="54"/>
      <c r="R269" s="60"/>
      <c r="W269" s="54"/>
    </row>
    <row r="270" spans="1:23" ht="38.25">
      <c r="A270" s="76"/>
      <c r="B270" s="76" t="s">
        <v>217</v>
      </c>
      <c r="C270" s="76" t="s">
        <v>36</v>
      </c>
      <c r="D270" s="70" t="s">
        <v>218</v>
      </c>
      <c r="E270" s="38">
        <f>F270+I270</f>
        <v>0</v>
      </c>
      <c r="F270" s="38"/>
      <c r="G270" s="38"/>
      <c r="H270" s="38"/>
      <c r="I270" s="38"/>
      <c r="J270" s="38">
        <f t="shared" si="32"/>
        <v>2005589</v>
      </c>
      <c r="K270" s="38"/>
      <c r="L270" s="38"/>
      <c r="M270" s="38"/>
      <c r="N270" s="38">
        <f>O270</f>
        <v>2005589</v>
      </c>
      <c r="O270" s="78">
        <f>2005589+7169-7169</f>
        <v>2005589</v>
      </c>
      <c r="P270" s="56">
        <f t="shared" si="31"/>
        <v>2005589</v>
      </c>
      <c r="Q270" s="54"/>
      <c r="R270" s="60"/>
      <c r="W270" s="54"/>
    </row>
    <row r="271" spans="1:23" ht="165.75" hidden="1">
      <c r="A271" s="76"/>
      <c r="B271" s="76" t="s">
        <v>151</v>
      </c>
      <c r="C271" s="76"/>
      <c r="D271" s="77" t="s">
        <v>190</v>
      </c>
      <c r="E271" s="38">
        <f>F271+I271</f>
        <v>0</v>
      </c>
      <c r="F271" s="38"/>
      <c r="G271" s="38"/>
      <c r="H271" s="38"/>
      <c r="I271" s="38"/>
      <c r="J271" s="38">
        <f t="shared" si="32"/>
        <v>0</v>
      </c>
      <c r="K271" s="38"/>
      <c r="L271" s="38"/>
      <c r="M271" s="38"/>
      <c r="N271" s="38"/>
      <c r="O271" s="38"/>
      <c r="P271" s="56">
        <f t="shared" si="31"/>
        <v>0</v>
      </c>
      <c r="Q271" s="54"/>
      <c r="R271" s="60"/>
      <c r="W271" s="54"/>
    </row>
    <row r="272" spans="1:23" ht="225" customHeight="1" hidden="1">
      <c r="A272" s="40"/>
      <c r="B272" s="40"/>
      <c r="C272" s="40"/>
      <c r="D272" s="77" t="s">
        <v>189</v>
      </c>
      <c r="E272" s="38">
        <f>E271</f>
        <v>0</v>
      </c>
      <c r="F272" s="38">
        <f>F271</f>
        <v>0</v>
      </c>
      <c r="G272" s="38">
        <f>G271</f>
        <v>0</v>
      </c>
      <c r="H272" s="38">
        <f>H271</f>
        <v>0</v>
      </c>
      <c r="I272" s="38">
        <f>I271</f>
        <v>0</v>
      </c>
      <c r="J272" s="38">
        <f t="shared" si="32"/>
        <v>0</v>
      </c>
      <c r="K272" s="38">
        <f>K271</f>
        <v>0</v>
      </c>
      <c r="L272" s="38">
        <f>L271</f>
        <v>0</v>
      </c>
      <c r="M272" s="38">
        <f>M271</f>
        <v>0</v>
      </c>
      <c r="N272" s="38">
        <f>N271</f>
        <v>0</v>
      </c>
      <c r="O272" s="38">
        <f>O271</f>
        <v>0</v>
      </c>
      <c r="P272" s="56">
        <f t="shared" si="31"/>
        <v>0</v>
      </c>
      <c r="Q272" s="54"/>
      <c r="R272" s="60"/>
      <c r="W272" s="54"/>
    </row>
    <row r="273" spans="1:23" ht="12.75">
      <c r="A273" s="76"/>
      <c r="B273" s="76" t="s">
        <v>93</v>
      </c>
      <c r="C273" s="76" t="s">
        <v>37</v>
      </c>
      <c r="D273" s="70" t="s">
        <v>97</v>
      </c>
      <c r="E273" s="78">
        <f>F273+I273</f>
        <v>59131444</v>
      </c>
      <c r="F273" s="78">
        <f>58981338+(50000+5000)-23894+119000</f>
        <v>59131444</v>
      </c>
      <c r="G273" s="38"/>
      <c r="H273" s="38"/>
      <c r="I273" s="38"/>
      <c r="J273" s="38">
        <f>K273+N273</f>
        <v>2083465</v>
      </c>
      <c r="K273" s="38"/>
      <c r="L273" s="38"/>
      <c r="M273" s="38"/>
      <c r="N273" s="38">
        <f>O273</f>
        <v>2083465</v>
      </c>
      <c r="O273" s="78">
        <f>1940965+119500+(23000)</f>
        <v>2083465</v>
      </c>
      <c r="P273" s="56">
        <f>E273+J273</f>
        <v>61214909</v>
      </c>
      <c r="Q273" s="54"/>
      <c r="R273" s="60"/>
      <c r="W273" s="54"/>
    </row>
    <row r="274" spans="1:23" ht="25.5" hidden="1">
      <c r="A274" s="76"/>
      <c r="B274" s="76" t="s">
        <v>221</v>
      </c>
      <c r="C274" s="76"/>
      <c r="D274" s="70" t="s">
        <v>222</v>
      </c>
      <c r="E274" s="135"/>
      <c r="F274" s="135"/>
      <c r="G274" s="38"/>
      <c r="H274" s="38"/>
      <c r="I274" s="38"/>
      <c r="J274" s="38">
        <f>K274+N274</f>
        <v>0</v>
      </c>
      <c r="K274" s="38"/>
      <c r="L274" s="38"/>
      <c r="M274" s="38"/>
      <c r="N274" s="38"/>
      <c r="O274" s="78"/>
      <c r="P274" s="56">
        <f>E274+J274</f>
        <v>0</v>
      </c>
      <c r="Q274" s="54"/>
      <c r="R274" s="60"/>
      <c r="W274" s="54"/>
    </row>
    <row r="275" spans="1:23" ht="12.75">
      <c r="A275" s="40"/>
      <c r="B275" s="40" t="s">
        <v>367</v>
      </c>
      <c r="C275" s="40"/>
      <c r="D275" s="36" t="s">
        <v>282</v>
      </c>
      <c r="E275" s="38">
        <f>E276+E278</f>
        <v>0</v>
      </c>
      <c r="F275" s="38">
        <f>F276+F278</f>
        <v>0</v>
      </c>
      <c r="G275" s="38">
        <f>G276+G278</f>
        <v>0</v>
      </c>
      <c r="H275" s="38">
        <f>H276+H278</f>
        <v>0</v>
      </c>
      <c r="I275" s="38"/>
      <c r="J275" s="38">
        <f>K275+N275</f>
        <v>75655640</v>
      </c>
      <c r="K275" s="38">
        <f>K276+K278</f>
        <v>0</v>
      </c>
      <c r="L275" s="38">
        <f>L276+L278</f>
        <v>0</v>
      </c>
      <c r="M275" s="38">
        <f>M276+M278</f>
        <v>0</v>
      </c>
      <c r="N275" s="38">
        <f>N276+N278+N277</f>
        <v>75655640</v>
      </c>
      <c r="O275" s="78">
        <f>O276+O278+O277</f>
        <v>75655640</v>
      </c>
      <c r="P275" s="56">
        <f t="shared" si="31"/>
        <v>75655640</v>
      </c>
      <c r="Q275" s="54"/>
      <c r="R275" s="60"/>
      <c r="W275" s="54"/>
    </row>
    <row r="276" spans="1:23" ht="12.75">
      <c r="A276" s="40"/>
      <c r="B276" s="40" t="s">
        <v>338</v>
      </c>
      <c r="C276" s="76" t="s">
        <v>6</v>
      </c>
      <c r="D276" s="36" t="s">
        <v>339</v>
      </c>
      <c r="E276" s="38">
        <f>F276+I276</f>
        <v>0</v>
      </c>
      <c r="F276" s="38"/>
      <c r="G276" s="38"/>
      <c r="H276" s="38"/>
      <c r="I276" s="38"/>
      <c r="J276" s="38">
        <f t="shared" si="32"/>
        <v>71785314</v>
      </c>
      <c r="K276" s="38"/>
      <c r="L276" s="38"/>
      <c r="M276" s="38"/>
      <c r="N276" s="38">
        <f>O276</f>
        <v>71785314</v>
      </c>
      <c r="O276" s="78">
        <f>83942878+16324670-14498164+1000000-469945+6198785-14419918+1628085-760057+300000+1495594+1360428+189288-8784348-3215556-1040000+1151123-34478+1416929</f>
        <v>71785314</v>
      </c>
      <c r="P276" s="56">
        <f t="shared" si="31"/>
        <v>71785314</v>
      </c>
      <c r="Q276" s="54"/>
      <c r="R276" s="60"/>
      <c r="W276" s="54"/>
    </row>
    <row r="277" spans="1:23" ht="38.25">
      <c r="A277" s="76"/>
      <c r="B277" s="76" t="s">
        <v>114</v>
      </c>
      <c r="C277" s="76" t="s">
        <v>18</v>
      </c>
      <c r="D277" s="36" t="s">
        <v>115</v>
      </c>
      <c r="E277" s="38">
        <f>F277+I277</f>
        <v>0</v>
      </c>
      <c r="F277" s="38"/>
      <c r="G277" s="38"/>
      <c r="H277" s="38"/>
      <c r="I277" s="38"/>
      <c r="J277" s="38">
        <f t="shared" si="32"/>
        <v>3870326</v>
      </c>
      <c r="K277" s="38"/>
      <c r="L277" s="38"/>
      <c r="M277" s="38"/>
      <c r="N277" s="38">
        <f>O277</f>
        <v>3870326</v>
      </c>
      <c r="O277" s="78">
        <v>3870326</v>
      </c>
      <c r="P277" s="56">
        <f t="shared" si="31"/>
        <v>3870326</v>
      </c>
      <c r="Q277" s="54"/>
      <c r="R277" s="60"/>
      <c r="W277" s="54"/>
    </row>
    <row r="278" spans="1:23" ht="63.75" hidden="1">
      <c r="A278" s="40"/>
      <c r="B278" s="40" t="s">
        <v>353</v>
      </c>
      <c r="C278" s="40"/>
      <c r="D278" s="59" t="s">
        <v>354</v>
      </c>
      <c r="E278" s="38"/>
      <c r="F278" s="38"/>
      <c r="G278" s="38"/>
      <c r="H278" s="38"/>
      <c r="I278" s="38"/>
      <c r="J278" s="38">
        <f t="shared" si="32"/>
        <v>0</v>
      </c>
      <c r="K278" s="38"/>
      <c r="L278" s="38"/>
      <c r="M278" s="38"/>
      <c r="N278" s="38">
        <f>O278</f>
        <v>0</v>
      </c>
      <c r="O278" s="38"/>
      <c r="P278" s="56">
        <f t="shared" si="31"/>
        <v>0</v>
      </c>
      <c r="Q278" s="54"/>
      <c r="R278" s="60"/>
      <c r="W278" s="54"/>
    </row>
    <row r="279" spans="1:23" ht="34.5" customHeight="1">
      <c r="A279" s="40"/>
      <c r="B279" s="40" t="s">
        <v>368</v>
      </c>
      <c r="C279" s="40"/>
      <c r="D279" s="59" t="s">
        <v>369</v>
      </c>
      <c r="E279" s="38">
        <f>E280</f>
        <v>92475694</v>
      </c>
      <c r="F279" s="38">
        <f>F280</f>
        <v>92475694</v>
      </c>
      <c r="G279" s="38">
        <f>G280</f>
        <v>0</v>
      </c>
      <c r="H279" s="38">
        <f>H280</f>
        <v>0</v>
      </c>
      <c r="I279" s="38"/>
      <c r="J279" s="38">
        <f t="shared" si="32"/>
        <v>33084608</v>
      </c>
      <c r="K279" s="38">
        <f>K280</f>
        <v>372678</v>
      </c>
      <c r="L279" s="38">
        <f>L280</f>
        <v>0</v>
      </c>
      <c r="M279" s="38">
        <f>M280</f>
        <v>0</v>
      </c>
      <c r="N279" s="38">
        <f>N280</f>
        <v>32711930</v>
      </c>
      <c r="O279" s="38">
        <f>O280</f>
        <v>32711930</v>
      </c>
      <c r="P279" s="56">
        <f t="shared" si="31"/>
        <v>125560302</v>
      </c>
      <c r="Q279" s="54"/>
      <c r="R279" s="60"/>
      <c r="W279" s="54"/>
    </row>
    <row r="280" spans="1:23" ht="51">
      <c r="A280" s="40"/>
      <c r="B280" s="40">
        <v>170703</v>
      </c>
      <c r="C280" s="76" t="s">
        <v>38</v>
      </c>
      <c r="D280" s="36" t="s">
        <v>238</v>
      </c>
      <c r="E280" s="38">
        <f>F280+I280</f>
        <v>92475694</v>
      </c>
      <c r="F280" s="38">
        <f>66948372+9527322+15000000+1000000</f>
        <v>92475694</v>
      </c>
      <c r="G280" s="38"/>
      <c r="H280" s="38"/>
      <c r="I280" s="38"/>
      <c r="J280" s="38">
        <f>K280+N280</f>
        <v>33084608</v>
      </c>
      <c r="K280" s="38">
        <f>372678</f>
        <v>372678</v>
      </c>
      <c r="L280" s="38"/>
      <c r="M280" s="38"/>
      <c r="N280" s="38">
        <f>O280</f>
        <v>32711930</v>
      </c>
      <c r="O280" s="38">
        <f>12653377+14498164-1000000+469945+14419918-8145240+4914208-145004-4500-4948938</f>
        <v>32711930</v>
      </c>
      <c r="P280" s="56">
        <f t="shared" si="31"/>
        <v>125560302</v>
      </c>
      <c r="Q280" s="54"/>
      <c r="R280" s="60"/>
      <c r="W280" s="54"/>
    </row>
    <row r="281" spans="1:23" ht="76.5" hidden="1">
      <c r="A281" s="40"/>
      <c r="B281" s="40"/>
      <c r="C281" s="40"/>
      <c r="D281" s="70" t="s">
        <v>192</v>
      </c>
      <c r="E281" s="38"/>
      <c r="F281" s="38"/>
      <c r="G281" s="38"/>
      <c r="H281" s="38"/>
      <c r="I281" s="38"/>
      <c r="J281" s="38">
        <f t="shared" si="32"/>
        <v>0</v>
      </c>
      <c r="K281" s="38"/>
      <c r="L281" s="38"/>
      <c r="M281" s="38"/>
      <c r="N281" s="38"/>
      <c r="O281" s="38"/>
      <c r="P281" s="56">
        <f t="shared" si="31"/>
        <v>0</v>
      </c>
      <c r="Q281" s="54"/>
      <c r="R281" s="60"/>
      <c r="W281" s="54"/>
    </row>
    <row r="282" spans="1:23" ht="25.5">
      <c r="A282" s="40"/>
      <c r="B282" s="40" t="s">
        <v>377</v>
      </c>
      <c r="C282" s="40"/>
      <c r="D282" s="59" t="s">
        <v>378</v>
      </c>
      <c r="E282" s="38">
        <f>E283</f>
        <v>0</v>
      </c>
      <c r="F282" s="38">
        <f>F283</f>
        <v>0</v>
      </c>
      <c r="G282" s="38">
        <f>G283</f>
        <v>0</v>
      </c>
      <c r="H282" s="38">
        <f>H283</f>
        <v>0</v>
      </c>
      <c r="I282" s="38"/>
      <c r="J282" s="38">
        <f t="shared" si="32"/>
        <v>56396870</v>
      </c>
      <c r="K282" s="38">
        <f>K283</f>
        <v>0</v>
      </c>
      <c r="L282" s="38">
        <f>L283</f>
        <v>0</v>
      </c>
      <c r="M282" s="38">
        <f>M283</f>
        <v>0</v>
      </c>
      <c r="N282" s="38">
        <f>N283</f>
        <v>56396870</v>
      </c>
      <c r="O282" s="38">
        <f>O283</f>
        <v>56396870</v>
      </c>
      <c r="P282" s="56">
        <f t="shared" si="31"/>
        <v>56396870</v>
      </c>
      <c r="Q282" s="54"/>
      <c r="R282" s="60"/>
      <c r="W282" s="54"/>
    </row>
    <row r="283" spans="1:23" ht="51">
      <c r="A283" s="40"/>
      <c r="B283" s="40" t="s">
        <v>355</v>
      </c>
      <c r="C283" s="76" t="s">
        <v>6</v>
      </c>
      <c r="D283" s="70" t="s">
        <v>206</v>
      </c>
      <c r="E283" s="38"/>
      <c r="F283" s="38"/>
      <c r="G283" s="38"/>
      <c r="H283" s="38"/>
      <c r="I283" s="38"/>
      <c r="J283" s="38">
        <f t="shared" si="32"/>
        <v>56396870</v>
      </c>
      <c r="K283" s="38"/>
      <c r="L283" s="38"/>
      <c r="M283" s="38"/>
      <c r="N283" s="38">
        <f>O283</f>
        <v>56396870</v>
      </c>
      <c r="O283" s="78">
        <f>29210456+22876078+1070530+3119812+119994</f>
        <v>56396870</v>
      </c>
      <c r="P283" s="56">
        <f t="shared" si="31"/>
        <v>56396870</v>
      </c>
      <c r="Q283" s="54"/>
      <c r="R283" s="60"/>
      <c r="W283" s="54"/>
    </row>
    <row r="284" spans="1:23" ht="25.5">
      <c r="A284" s="40"/>
      <c r="B284" s="76" t="s">
        <v>408</v>
      </c>
      <c r="C284" s="40"/>
      <c r="D284" s="142" t="s">
        <v>430</v>
      </c>
      <c r="E284" s="38">
        <f>E285</f>
        <v>0</v>
      </c>
      <c r="F284" s="38"/>
      <c r="G284" s="38"/>
      <c r="H284" s="38"/>
      <c r="I284" s="38">
        <f>I285</f>
        <v>0</v>
      </c>
      <c r="J284" s="38">
        <f t="shared" si="32"/>
        <v>3823526</v>
      </c>
      <c r="K284" s="38"/>
      <c r="L284" s="38"/>
      <c r="M284" s="38"/>
      <c r="N284" s="38">
        <f>O284</f>
        <v>3823526</v>
      </c>
      <c r="O284" s="78">
        <f>O285</f>
        <v>3823526</v>
      </c>
      <c r="P284" s="56">
        <f t="shared" si="31"/>
        <v>3823526</v>
      </c>
      <c r="Q284" s="54"/>
      <c r="R284" s="60"/>
      <c r="W284" s="54"/>
    </row>
    <row r="285" spans="1:23" ht="12.75">
      <c r="A285" s="40"/>
      <c r="B285" s="76" t="s">
        <v>428</v>
      </c>
      <c r="C285" s="76" t="s">
        <v>16</v>
      </c>
      <c r="D285" s="142" t="s">
        <v>429</v>
      </c>
      <c r="E285" s="38">
        <f>F285+I285</f>
        <v>0</v>
      </c>
      <c r="F285" s="38"/>
      <c r="G285" s="38"/>
      <c r="H285" s="38"/>
      <c r="I285" s="38"/>
      <c r="J285" s="38">
        <f t="shared" si="32"/>
        <v>3823526</v>
      </c>
      <c r="K285" s="38"/>
      <c r="L285" s="38"/>
      <c r="M285" s="38"/>
      <c r="N285" s="38">
        <f>O285</f>
        <v>3823526</v>
      </c>
      <c r="O285" s="78">
        <f>2500000+1323526</f>
        <v>3823526</v>
      </c>
      <c r="P285" s="56">
        <f t="shared" si="31"/>
        <v>3823526</v>
      </c>
      <c r="Q285" s="54"/>
      <c r="R285" s="60"/>
      <c r="W285" s="54"/>
    </row>
    <row r="286" spans="1:23" s="162" customFormat="1" ht="12.75">
      <c r="A286" s="157"/>
      <c r="B286" s="40" t="s">
        <v>370</v>
      </c>
      <c r="C286" s="40"/>
      <c r="D286" s="61" t="s">
        <v>374</v>
      </c>
      <c r="E286" s="38">
        <f>F286+I286</f>
        <v>0</v>
      </c>
      <c r="F286" s="38">
        <f>F287</f>
        <v>0</v>
      </c>
      <c r="G286" s="38"/>
      <c r="H286" s="38"/>
      <c r="I286" s="38">
        <f>I287</f>
        <v>0</v>
      </c>
      <c r="J286" s="38">
        <f t="shared" si="32"/>
        <v>864192</v>
      </c>
      <c r="K286" s="38">
        <f>K287</f>
        <v>0</v>
      </c>
      <c r="L286" s="38">
        <f>L287</f>
        <v>0</v>
      </c>
      <c r="M286" s="38">
        <f>M287</f>
        <v>0</v>
      </c>
      <c r="N286" s="38">
        <f>N287</f>
        <v>864192</v>
      </c>
      <c r="O286" s="38">
        <f>O287</f>
        <v>0</v>
      </c>
      <c r="P286" s="56">
        <f t="shared" si="31"/>
        <v>864192</v>
      </c>
      <c r="Q286" s="158"/>
      <c r="R286" s="161"/>
      <c r="W286" s="158"/>
    </row>
    <row r="287" spans="1:23" s="162" customFormat="1" ht="25.5">
      <c r="A287" s="157"/>
      <c r="B287" s="40" t="s">
        <v>337</v>
      </c>
      <c r="C287" s="76" t="s">
        <v>17</v>
      </c>
      <c r="D287" s="61" t="s">
        <v>352</v>
      </c>
      <c r="E287" s="38">
        <f>F287+I287</f>
        <v>0</v>
      </c>
      <c r="F287" s="38"/>
      <c r="G287" s="38"/>
      <c r="H287" s="38"/>
      <c r="I287" s="38"/>
      <c r="J287" s="38">
        <f t="shared" si="32"/>
        <v>864192</v>
      </c>
      <c r="K287" s="38">
        <f>1700000-1700000</f>
        <v>0</v>
      </c>
      <c r="L287" s="38"/>
      <c r="M287" s="38"/>
      <c r="N287" s="38">
        <v>864192</v>
      </c>
      <c r="O287" s="38"/>
      <c r="P287" s="56">
        <f t="shared" si="31"/>
        <v>864192</v>
      </c>
      <c r="Q287" s="158"/>
      <c r="R287" s="161"/>
      <c r="W287" s="158"/>
    </row>
    <row r="288" spans="1:23" ht="25.5">
      <c r="A288" s="40"/>
      <c r="B288" s="40" t="s">
        <v>372</v>
      </c>
      <c r="C288" s="40"/>
      <c r="D288" s="44" t="s">
        <v>373</v>
      </c>
      <c r="E288" s="38">
        <f>E289</f>
        <v>39183732</v>
      </c>
      <c r="F288" s="38">
        <f>F289</f>
        <v>39183732</v>
      </c>
      <c r="G288" s="38">
        <f>G289</f>
        <v>0</v>
      </c>
      <c r="H288" s="38">
        <f>H289</f>
        <v>0</v>
      </c>
      <c r="I288" s="38"/>
      <c r="J288" s="38">
        <f t="shared" si="32"/>
        <v>609606</v>
      </c>
      <c r="K288" s="38">
        <f>K289</f>
        <v>0</v>
      </c>
      <c r="L288" s="38">
        <f>L289</f>
        <v>0</v>
      </c>
      <c r="M288" s="38">
        <f>M289</f>
        <v>0</v>
      </c>
      <c r="N288" s="38">
        <f>N289</f>
        <v>609606</v>
      </c>
      <c r="O288" s="38">
        <f>O289</f>
        <v>609606</v>
      </c>
      <c r="P288" s="56">
        <f t="shared" si="31"/>
        <v>39793338</v>
      </c>
      <c r="Q288" s="54"/>
      <c r="R288" s="60"/>
      <c r="W288" s="54"/>
    </row>
    <row r="289" spans="1:23" ht="12.75">
      <c r="A289" s="40"/>
      <c r="B289" s="40" t="s">
        <v>287</v>
      </c>
      <c r="C289" s="76" t="s">
        <v>7</v>
      </c>
      <c r="D289" s="36" t="s">
        <v>316</v>
      </c>
      <c r="E289" s="38">
        <f>SUM(E290:E296)</f>
        <v>39183732</v>
      </c>
      <c r="F289" s="38">
        <f>SUM(F290:F296)</f>
        <v>39183732</v>
      </c>
      <c r="G289" s="38"/>
      <c r="H289" s="38"/>
      <c r="I289" s="38"/>
      <c r="J289" s="38">
        <f t="shared" si="32"/>
        <v>609606</v>
      </c>
      <c r="K289" s="38"/>
      <c r="L289" s="38"/>
      <c r="M289" s="38"/>
      <c r="N289" s="38">
        <f>O289</f>
        <v>609606</v>
      </c>
      <c r="O289" s="38">
        <f>SUM(O290:O297)</f>
        <v>609606</v>
      </c>
      <c r="P289" s="56">
        <f t="shared" si="31"/>
        <v>39793338</v>
      </c>
      <c r="Q289" s="54"/>
      <c r="R289" s="60"/>
      <c r="W289" s="54"/>
    </row>
    <row r="290" spans="1:23" ht="25.5" hidden="1">
      <c r="A290" s="76"/>
      <c r="B290" s="76"/>
      <c r="C290" s="76"/>
      <c r="D290" s="70" t="s">
        <v>45</v>
      </c>
      <c r="E290" s="38">
        <f aca="true" t="shared" si="34" ref="E290:E297">F290+I290</f>
        <v>20000</v>
      </c>
      <c r="F290" s="38">
        <f>(20000)</f>
        <v>20000</v>
      </c>
      <c r="G290" s="38"/>
      <c r="H290" s="38"/>
      <c r="I290" s="38"/>
      <c r="J290" s="38">
        <f t="shared" si="32"/>
        <v>0</v>
      </c>
      <c r="K290" s="38"/>
      <c r="L290" s="38"/>
      <c r="M290" s="38"/>
      <c r="N290" s="38">
        <f>O290</f>
        <v>0</v>
      </c>
      <c r="O290" s="38"/>
      <c r="P290" s="56">
        <f t="shared" si="31"/>
        <v>20000</v>
      </c>
      <c r="Q290" s="54"/>
      <c r="R290" s="60"/>
      <c r="W290" s="54"/>
    </row>
    <row r="291" spans="1:23" ht="25.5" hidden="1">
      <c r="A291" s="76"/>
      <c r="B291" s="76"/>
      <c r="C291" s="76"/>
      <c r="D291" s="70" t="s">
        <v>199</v>
      </c>
      <c r="E291" s="38">
        <f t="shared" si="34"/>
        <v>38500000</v>
      </c>
      <c r="F291" s="38">
        <f>30000000-20000000+20000000+8500000</f>
        <v>38500000</v>
      </c>
      <c r="G291" s="38"/>
      <c r="H291" s="38"/>
      <c r="I291" s="38"/>
      <c r="J291" s="38">
        <f t="shared" si="32"/>
        <v>0</v>
      </c>
      <c r="K291" s="38"/>
      <c r="L291" s="38"/>
      <c r="M291" s="38"/>
      <c r="N291" s="38"/>
      <c r="O291" s="38"/>
      <c r="P291" s="56">
        <f t="shared" si="31"/>
        <v>38500000</v>
      </c>
      <c r="Q291" s="54"/>
      <c r="R291" s="60"/>
      <c r="W291" s="54"/>
    </row>
    <row r="292" spans="1:23" ht="12.75" hidden="1">
      <c r="A292" s="76"/>
      <c r="B292" s="76"/>
      <c r="C292" s="76"/>
      <c r="D292" s="70" t="s">
        <v>47</v>
      </c>
      <c r="E292" s="38">
        <f>F292</f>
        <v>93500</v>
      </c>
      <c r="F292" s="38">
        <v>93500</v>
      </c>
      <c r="G292" s="38"/>
      <c r="H292" s="38"/>
      <c r="I292" s="38"/>
      <c r="J292" s="38"/>
      <c r="K292" s="38"/>
      <c r="L292" s="38"/>
      <c r="M292" s="38"/>
      <c r="N292" s="38"/>
      <c r="O292" s="38"/>
      <c r="P292" s="56">
        <f t="shared" si="31"/>
        <v>93500</v>
      </c>
      <c r="Q292" s="54"/>
      <c r="R292" s="60"/>
      <c r="W292" s="54"/>
    </row>
    <row r="293" spans="1:23" ht="38.25" hidden="1">
      <c r="A293" s="76"/>
      <c r="B293" s="76"/>
      <c r="C293" s="76"/>
      <c r="D293" s="70" t="s">
        <v>200</v>
      </c>
      <c r="E293" s="38">
        <f t="shared" si="34"/>
        <v>405053</v>
      </c>
      <c r="F293" s="38">
        <v>405053</v>
      </c>
      <c r="G293" s="38"/>
      <c r="H293" s="38"/>
      <c r="I293" s="38"/>
      <c r="J293" s="38">
        <f t="shared" si="32"/>
        <v>0</v>
      </c>
      <c r="K293" s="38"/>
      <c r="L293" s="38"/>
      <c r="M293" s="38"/>
      <c r="N293" s="38"/>
      <c r="O293" s="38"/>
      <c r="P293" s="56">
        <f t="shared" si="31"/>
        <v>405053</v>
      </c>
      <c r="Q293" s="54"/>
      <c r="R293" s="60"/>
      <c r="W293" s="54"/>
    </row>
    <row r="294" spans="1:23" ht="25.5" hidden="1">
      <c r="A294" s="76"/>
      <c r="B294" s="76"/>
      <c r="C294" s="76"/>
      <c r="D294" s="70" t="s">
        <v>203</v>
      </c>
      <c r="E294" s="38">
        <f t="shared" si="34"/>
        <v>0</v>
      </c>
      <c r="F294" s="38"/>
      <c r="G294" s="38"/>
      <c r="H294" s="38"/>
      <c r="I294" s="38"/>
      <c r="J294" s="38">
        <f t="shared" si="32"/>
        <v>0</v>
      </c>
      <c r="K294" s="38"/>
      <c r="L294" s="38"/>
      <c r="M294" s="38"/>
      <c r="N294" s="38"/>
      <c r="O294" s="38"/>
      <c r="P294" s="56">
        <f t="shared" si="31"/>
        <v>0</v>
      </c>
      <c r="Q294" s="54"/>
      <c r="R294" s="60"/>
      <c r="W294" s="54"/>
    </row>
    <row r="295" spans="1:23" ht="12.75" hidden="1">
      <c r="A295" s="76"/>
      <c r="B295" s="76"/>
      <c r="C295" s="76"/>
      <c r="D295" s="70" t="s">
        <v>441</v>
      </c>
      <c r="E295" s="38">
        <f t="shared" si="34"/>
        <v>0</v>
      </c>
      <c r="F295" s="38"/>
      <c r="G295" s="38"/>
      <c r="H295" s="38"/>
      <c r="I295" s="38"/>
      <c r="J295" s="38">
        <f>K295+N295</f>
        <v>609606</v>
      </c>
      <c r="K295" s="38"/>
      <c r="L295" s="38"/>
      <c r="M295" s="38"/>
      <c r="N295" s="38">
        <f>O295</f>
        <v>609606</v>
      </c>
      <c r="O295" s="38">
        <f>481398+128208</f>
        <v>609606</v>
      </c>
      <c r="P295" s="56">
        <f t="shared" si="31"/>
        <v>609606</v>
      </c>
      <c r="Q295" s="54"/>
      <c r="R295" s="60"/>
      <c r="W295" s="54"/>
    </row>
    <row r="296" spans="1:23" ht="12.75" hidden="1">
      <c r="A296" s="76"/>
      <c r="B296" s="76"/>
      <c r="C296" s="76"/>
      <c r="D296" s="70" t="s">
        <v>44</v>
      </c>
      <c r="E296" s="38">
        <f t="shared" si="34"/>
        <v>165179</v>
      </c>
      <c r="F296" s="38">
        <v>165179</v>
      </c>
      <c r="G296" s="38"/>
      <c r="H296" s="38"/>
      <c r="I296" s="38"/>
      <c r="J296" s="38"/>
      <c r="K296" s="38"/>
      <c r="L296" s="38"/>
      <c r="M296" s="38"/>
      <c r="N296" s="38"/>
      <c r="O296" s="38"/>
      <c r="P296" s="56"/>
      <c r="Q296" s="54"/>
      <c r="R296" s="60"/>
      <c r="W296" s="54"/>
    </row>
    <row r="297" spans="1:23" ht="16.5" customHeight="1" hidden="1">
      <c r="A297" s="40"/>
      <c r="B297" s="153"/>
      <c r="C297" s="153" t="s">
        <v>431</v>
      </c>
      <c r="D297" s="154"/>
      <c r="E297" s="152">
        <f t="shared" si="34"/>
        <v>0</v>
      </c>
      <c r="F297" s="152"/>
      <c r="G297" s="38"/>
      <c r="H297" s="38"/>
      <c r="I297" s="38"/>
      <c r="J297" s="38">
        <f t="shared" si="32"/>
        <v>0</v>
      </c>
      <c r="K297" s="38"/>
      <c r="L297" s="38"/>
      <c r="M297" s="38"/>
      <c r="N297" s="38">
        <f>O297</f>
        <v>0</v>
      </c>
      <c r="O297" s="38"/>
      <c r="P297" s="56">
        <f>E297+J297</f>
        <v>0</v>
      </c>
      <c r="Q297" s="54"/>
      <c r="R297" s="60"/>
      <c r="W297" s="54"/>
    </row>
    <row r="298" spans="1:23" ht="24">
      <c r="A298" s="100"/>
      <c r="B298" s="100" t="s">
        <v>168</v>
      </c>
      <c r="C298" s="100"/>
      <c r="D298" s="113" t="s">
        <v>120</v>
      </c>
      <c r="E298" s="52">
        <f>E300+E305</f>
        <v>4021732</v>
      </c>
      <c r="F298" s="52">
        <f>F300+F305</f>
        <v>4021732</v>
      </c>
      <c r="G298" s="52">
        <f aca="true" t="shared" si="35" ref="G298:O298">G300+G305</f>
        <v>2104922</v>
      </c>
      <c r="H298" s="52">
        <f t="shared" si="35"/>
        <v>202195</v>
      </c>
      <c r="I298" s="52"/>
      <c r="J298" s="52">
        <f aca="true" t="shared" si="36" ref="J298:J306">K298+N298</f>
        <v>0</v>
      </c>
      <c r="K298" s="52">
        <f t="shared" si="35"/>
        <v>0</v>
      </c>
      <c r="L298" s="52">
        <f t="shared" si="35"/>
        <v>0</v>
      </c>
      <c r="M298" s="52">
        <f t="shared" si="35"/>
        <v>0</v>
      </c>
      <c r="N298" s="52">
        <f t="shared" si="35"/>
        <v>0</v>
      </c>
      <c r="O298" s="52">
        <f t="shared" si="35"/>
        <v>0</v>
      </c>
      <c r="P298" s="53">
        <f aca="true" t="shared" si="37" ref="P298:P343">E298+J298</f>
        <v>4021732</v>
      </c>
      <c r="Q298" s="54"/>
      <c r="R298" s="60"/>
      <c r="W298" s="54"/>
    </row>
    <row r="299" spans="1:23" ht="12.75">
      <c r="A299" s="43"/>
      <c r="B299" s="43" t="s">
        <v>363</v>
      </c>
      <c r="C299" s="43"/>
      <c r="D299" s="44" t="s">
        <v>364</v>
      </c>
      <c r="E299" s="37">
        <f>E300</f>
        <v>3891055</v>
      </c>
      <c r="F299" s="37">
        <f>F300</f>
        <v>3891055</v>
      </c>
      <c r="G299" s="37">
        <f>G300</f>
        <v>2104922</v>
      </c>
      <c r="H299" s="37">
        <f>H300</f>
        <v>202195</v>
      </c>
      <c r="I299" s="37"/>
      <c r="J299" s="38">
        <f t="shared" si="36"/>
        <v>0</v>
      </c>
      <c r="K299" s="37"/>
      <c r="L299" s="37"/>
      <c r="M299" s="37"/>
      <c r="N299" s="37">
        <f>N300</f>
        <v>0</v>
      </c>
      <c r="O299" s="37">
        <f>O300</f>
        <v>0</v>
      </c>
      <c r="P299" s="56">
        <f t="shared" si="37"/>
        <v>3891055</v>
      </c>
      <c r="Q299" s="54"/>
      <c r="R299" s="60"/>
      <c r="W299" s="54"/>
    </row>
    <row r="300" spans="1:23" ht="12.75">
      <c r="A300" s="40"/>
      <c r="B300" s="40" t="s">
        <v>248</v>
      </c>
      <c r="C300" s="76" t="s">
        <v>4</v>
      </c>
      <c r="D300" s="59" t="s">
        <v>249</v>
      </c>
      <c r="E300" s="38">
        <f>F300</f>
        <v>3891055</v>
      </c>
      <c r="F300" s="38">
        <f>3843394+47661</f>
        <v>3891055</v>
      </c>
      <c r="G300" s="38">
        <f>2069799+35123</f>
        <v>2104922</v>
      </c>
      <c r="H300" s="38">
        <v>202195</v>
      </c>
      <c r="I300" s="38"/>
      <c r="J300" s="38">
        <f t="shared" si="36"/>
        <v>0</v>
      </c>
      <c r="K300" s="38"/>
      <c r="L300" s="38"/>
      <c r="M300" s="38"/>
      <c r="N300" s="78">
        <f>O300</f>
        <v>0</v>
      </c>
      <c r="O300" s="78"/>
      <c r="P300" s="56">
        <f t="shared" si="37"/>
        <v>3891055</v>
      </c>
      <c r="Q300" s="54"/>
      <c r="R300" s="60"/>
      <c r="W300" s="54"/>
    </row>
    <row r="301" spans="1:23" ht="12.75" hidden="1">
      <c r="A301" s="40"/>
      <c r="B301" s="40" t="s">
        <v>338</v>
      </c>
      <c r="C301" s="40"/>
      <c r="D301" s="59" t="s">
        <v>339</v>
      </c>
      <c r="E301" s="38"/>
      <c r="F301" s="38"/>
      <c r="G301" s="38"/>
      <c r="H301" s="38"/>
      <c r="I301" s="38"/>
      <c r="J301" s="38">
        <f t="shared" si="36"/>
        <v>0</v>
      </c>
      <c r="K301" s="38"/>
      <c r="L301" s="38"/>
      <c r="M301" s="38"/>
      <c r="N301" s="38"/>
      <c r="O301" s="38"/>
      <c r="P301" s="56">
        <f t="shared" si="37"/>
        <v>0</v>
      </c>
      <c r="Q301" s="54"/>
      <c r="R301" s="60"/>
      <c r="W301" s="54"/>
    </row>
    <row r="302" spans="1:23" s="55" customFormat="1" ht="178.5" hidden="1">
      <c r="A302" s="40"/>
      <c r="B302" s="40" t="s">
        <v>73</v>
      </c>
      <c r="C302" s="40"/>
      <c r="D302" s="70" t="s">
        <v>56</v>
      </c>
      <c r="E302" s="38"/>
      <c r="F302" s="38"/>
      <c r="G302" s="38"/>
      <c r="H302" s="38"/>
      <c r="I302" s="38"/>
      <c r="J302" s="38">
        <f t="shared" si="36"/>
        <v>0</v>
      </c>
      <c r="K302" s="38"/>
      <c r="L302" s="38"/>
      <c r="M302" s="38"/>
      <c r="N302" s="38"/>
      <c r="O302" s="38"/>
      <c r="P302" s="56">
        <f t="shared" si="37"/>
        <v>0</v>
      </c>
      <c r="Q302" s="54"/>
      <c r="R302" s="54"/>
      <c r="W302" s="54"/>
    </row>
    <row r="303" spans="1:23" ht="12.75" hidden="1">
      <c r="A303" s="40"/>
      <c r="B303" s="40" t="s">
        <v>370</v>
      </c>
      <c r="C303" s="40"/>
      <c r="D303" s="36" t="s">
        <v>374</v>
      </c>
      <c r="E303" s="38"/>
      <c r="F303" s="38"/>
      <c r="G303" s="38"/>
      <c r="H303" s="38"/>
      <c r="I303" s="38"/>
      <c r="J303" s="38">
        <f t="shared" si="36"/>
        <v>0</v>
      </c>
      <c r="K303" s="38">
        <f>K304</f>
        <v>0</v>
      </c>
      <c r="L303" s="38">
        <f>L304</f>
        <v>0</v>
      </c>
      <c r="M303" s="38">
        <f>M304</f>
        <v>0</v>
      </c>
      <c r="N303" s="38">
        <f>N304</f>
        <v>0</v>
      </c>
      <c r="O303" s="38">
        <f>O304</f>
        <v>0</v>
      </c>
      <c r="P303" s="56">
        <f t="shared" si="37"/>
        <v>0</v>
      </c>
      <c r="Q303" s="54"/>
      <c r="R303" s="60"/>
      <c r="W303" s="54"/>
    </row>
    <row r="304" spans="1:23" ht="25.5" hidden="1">
      <c r="A304" s="40"/>
      <c r="B304" s="40" t="s">
        <v>286</v>
      </c>
      <c r="C304" s="40"/>
      <c r="D304" s="36" t="s">
        <v>333</v>
      </c>
      <c r="E304" s="38"/>
      <c r="F304" s="38"/>
      <c r="G304" s="38"/>
      <c r="H304" s="38"/>
      <c r="I304" s="38"/>
      <c r="J304" s="38">
        <f t="shared" si="36"/>
        <v>0</v>
      </c>
      <c r="K304" s="38"/>
      <c r="L304" s="38"/>
      <c r="M304" s="38"/>
      <c r="N304" s="38"/>
      <c r="O304" s="38"/>
      <c r="P304" s="56">
        <f t="shared" si="37"/>
        <v>0</v>
      </c>
      <c r="Q304" s="54"/>
      <c r="R304" s="60"/>
      <c r="W304" s="54"/>
    </row>
    <row r="305" spans="1:23" ht="26.25" customHeight="1">
      <c r="A305" s="40"/>
      <c r="B305" s="40" t="s">
        <v>372</v>
      </c>
      <c r="C305" s="40"/>
      <c r="D305" s="44" t="s">
        <v>373</v>
      </c>
      <c r="E305" s="38">
        <f>E306</f>
        <v>130677</v>
      </c>
      <c r="F305" s="38">
        <f>F306</f>
        <v>130677</v>
      </c>
      <c r="G305" s="38">
        <f>G306</f>
        <v>0</v>
      </c>
      <c r="H305" s="38">
        <f>H306</f>
        <v>0</v>
      </c>
      <c r="I305" s="38"/>
      <c r="J305" s="38">
        <f t="shared" si="36"/>
        <v>0</v>
      </c>
      <c r="K305" s="38">
        <f>K306</f>
        <v>0</v>
      </c>
      <c r="L305" s="38">
        <f>L306</f>
        <v>0</v>
      </c>
      <c r="M305" s="38">
        <f>M306</f>
        <v>0</v>
      </c>
      <c r="N305" s="38">
        <f>N306</f>
        <v>0</v>
      </c>
      <c r="O305" s="38">
        <f>O306</f>
        <v>0</v>
      </c>
      <c r="P305" s="56">
        <f t="shared" si="37"/>
        <v>130677</v>
      </c>
      <c r="Q305" s="54"/>
      <c r="R305" s="60"/>
      <c r="W305" s="54"/>
    </row>
    <row r="306" spans="1:23" ht="12.75">
      <c r="A306" s="40"/>
      <c r="B306" s="40" t="s">
        <v>287</v>
      </c>
      <c r="C306" s="76" t="s">
        <v>7</v>
      </c>
      <c r="D306" s="36" t="s">
        <v>316</v>
      </c>
      <c r="E306" s="38">
        <f>E308+E307</f>
        <v>130677</v>
      </c>
      <c r="F306" s="38">
        <f>F308+F307</f>
        <v>130677</v>
      </c>
      <c r="G306" s="38"/>
      <c r="H306" s="38"/>
      <c r="I306" s="38">
        <f>I308</f>
        <v>0</v>
      </c>
      <c r="J306" s="38">
        <f t="shared" si="36"/>
        <v>0</v>
      </c>
      <c r="K306" s="38"/>
      <c r="L306" s="38"/>
      <c r="M306" s="38"/>
      <c r="N306" s="38"/>
      <c r="O306" s="38"/>
      <c r="P306" s="56">
        <f t="shared" si="37"/>
        <v>130677</v>
      </c>
      <c r="Q306" s="54"/>
      <c r="R306" s="60"/>
      <c r="W306" s="54"/>
    </row>
    <row r="307" spans="1:23" ht="25.5" hidden="1">
      <c r="A307" s="40"/>
      <c r="B307" s="40"/>
      <c r="C307" s="76"/>
      <c r="D307" s="70" t="s">
        <v>52</v>
      </c>
      <c r="E307" s="38">
        <f>F307</f>
        <v>106241</v>
      </c>
      <c r="F307" s="38">
        <v>106241</v>
      </c>
      <c r="G307" s="38"/>
      <c r="H307" s="38"/>
      <c r="I307" s="38"/>
      <c r="J307" s="38"/>
      <c r="K307" s="38"/>
      <c r="L307" s="38"/>
      <c r="M307" s="38"/>
      <c r="N307" s="38"/>
      <c r="O307" s="38"/>
      <c r="P307" s="56">
        <f t="shared" si="37"/>
        <v>106241</v>
      </c>
      <c r="Q307" s="54"/>
      <c r="R307" s="60"/>
      <c r="W307" s="54"/>
    </row>
    <row r="308" spans="1:23" ht="24" hidden="1">
      <c r="A308" s="40"/>
      <c r="B308" s="40"/>
      <c r="C308" s="40"/>
      <c r="D308" s="39" t="s">
        <v>96</v>
      </c>
      <c r="E308" s="38">
        <f>F308+I308</f>
        <v>24436</v>
      </c>
      <c r="F308" s="38">
        <v>24436</v>
      </c>
      <c r="G308" s="38"/>
      <c r="H308" s="38"/>
      <c r="I308" s="38"/>
      <c r="J308" s="38"/>
      <c r="K308" s="38"/>
      <c r="L308" s="38"/>
      <c r="M308" s="38"/>
      <c r="N308" s="38"/>
      <c r="O308" s="38"/>
      <c r="P308" s="56">
        <f t="shared" si="37"/>
        <v>24436</v>
      </c>
      <c r="Q308" s="54"/>
      <c r="R308" s="60"/>
      <c r="W308" s="54"/>
    </row>
    <row r="309" spans="1:23" ht="38.25">
      <c r="A309" s="100"/>
      <c r="B309" s="100" t="s">
        <v>172</v>
      </c>
      <c r="C309" s="100"/>
      <c r="D309" s="111" t="s">
        <v>119</v>
      </c>
      <c r="E309" s="52">
        <f>E310+E315</f>
        <v>5066914</v>
      </c>
      <c r="F309" s="52">
        <f>F310+F315</f>
        <v>5066914</v>
      </c>
      <c r="G309" s="52">
        <f>G310+G315</f>
        <v>1726862</v>
      </c>
      <c r="H309" s="52">
        <f>H310+H315</f>
        <v>243046</v>
      </c>
      <c r="I309" s="52"/>
      <c r="J309" s="52">
        <f aca="true" t="shared" si="38" ref="J309:O309">J311+J315+J312</f>
        <v>1321806</v>
      </c>
      <c r="K309" s="52">
        <f t="shared" si="38"/>
        <v>0</v>
      </c>
      <c r="L309" s="52">
        <f t="shared" si="38"/>
        <v>0</v>
      </c>
      <c r="M309" s="52">
        <f t="shared" si="38"/>
        <v>0</v>
      </c>
      <c r="N309" s="52">
        <f t="shared" si="38"/>
        <v>1321806</v>
      </c>
      <c r="O309" s="52">
        <f t="shared" si="38"/>
        <v>1321806</v>
      </c>
      <c r="P309" s="53">
        <f t="shared" si="37"/>
        <v>6388720</v>
      </c>
      <c r="Q309" s="54"/>
      <c r="R309" s="60"/>
      <c r="W309" s="54"/>
    </row>
    <row r="310" spans="1:23" ht="12.75">
      <c r="A310" s="43"/>
      <c r="B310" s="43" t="s">
        <v>363</v>
      </c>
      <c r="C310" s="43"/>
      <c r="D310" s="44" t="s">
        <v>364</v>
      </c>
      <c r="E310" s="37">
        <f>E311</f>
        <v>3141718</v>
      </c>
      <c r="F310" s="37">
        <f>F311</f>
        <v>3141718</v>
      </c>
      <c r="G310" s="37">
        <f>G311</f>
        <v>1726862</v>
      </c>
      <c r="H310" s="37">
        <f>H311</f>
        <v>243046</v>
      </c>
      <c r="I310" s="37"/>
      <c r="J310" s="38">
        <f aca="true" t="shared" si="39" ref="J310:J319">K310+N310</f>
        <v>108516</v>
      </c>
      <c r="K310" s="37"/>
      <c r="L310" s="37"/>
      <c r="M310" s="37"/>
      <c r="N310" s="37">
        <f>O310</f>
        <v>108516</v>
      </c>
      <c r="O310" s="37">
        <f>O311</f>
        <v>108516</v>
      </c>
      <c r="P310" s="56">
        <f t="shared" si="37"/>
        <v>3250234</v>
      </c>
      <c r="Q310" s="54"/>
      <c r="R310" s="60"/>
      <c r="W310" s="54"/>
    </row>
    <row r="311" spans="1:23" ht="12.75">
      <c r="A311" s="40"/>
      <c r="B311" s="40" t="s">
        <v>248</v>
      </c>
      <c r="C311" s="76" t="s">
        <v>4</v>
      </c>
      <c r="D311" s="59" t="s">
        <v>249</v>
      </c>
      <c r="E311" s="38">
        <f>F311</f>
        <v>3141718</v>
      </c>
      <c r="F311" s="38">
        <f>3057424+42862+41432</f>
        <v>3141718</v>
      </c>
      <c r="G311" s="38">
        <f>1695412+31450</f>
        <v>1726862</v>
      </c>
      <c r="H311" s="37">
        <v>243046</v>
      </c>
      <c r="I311" s="37"/>
      <c r="J311" s="38">
        <f t="shared" si="39"/>
        <v>108516</v>
      </c>
      <c r="K311" s="38"/>
      <c r="L311" s="38"/>
      <c r="M311" s="38"/>
      <c r="N311" s="38">
        <f>O311</f>
        <v>108516</v>
      </c>
      <c r="O311" s="38">
        <v>108516</v>
      </c>
      <c r="P311" s="56">
        <f t="shared" si="37"/>
        <v>3250234</v>
      </c>
      <c r="Q311" s="54"/>
      <c r="R311" s="60"/>
      <c r="W311" s="54"/>
    </row>
    <row r="312" spans="1:23" s="55" customFormat="1" ht="12.75">
      <c r="A312" s="76"/>
      <c r="B312" s="76" t="s">
        <v>367</v>
      </c>
      <c r="C312" s="76"/>
      <c r="D312" s="77" t="s">
        <v>282</v>
      </c>
      <c r="E312" s="38"/>
      <c r="F312" s="38"/>
      <c r="G312" s="38"/>
      <c r="H312" s="38"/>
      <c r="I312" s="38"/>
      <c r="J312" s="38">
        <f t="shared" si="39"/>
        <v>887560</v>
      </c>
      <c r="K312" s="38">
        <f>K313</f>
        <v>0</v>
      </c>
      <c r="L312" s="38"/>
      <c r="M312" s="38"/>
      <c r="N312" s="38">
        <f>N313</f>
        <v>887560</v>
      </c>
      <c r="O312" s="38">
        <f>O313</f>
        <v>887560</v>
      </c>
      <c r="P312" s="56">
        <f t="shared" si="37"/>
        <v>887560</v>
      </c>
      <c r="Q312" s="54"/>
      <c r="R312" s="54"/>
      <c r="W312" s="54"/>
    </row>
    <row r="313" spans="1:23" s="58" customFormat="1" ht="25.5">
      <c r="A313" s="76"/>
      <c r="B313" s="76" t="s">
        <v>84</v>
      </c>
      <c r="C313" s="76" t="s">
        <v>39</v>
      </c>
      <c r="D313" s="75" t="s">
        <v>85</v>
      </c>
      <c r="E313" s="38"/>
      <c r="F313" s="38"/>
      <c r="G313" s="38"/>
      <c r="H313" s="38"/>
      <c r="I313" s="38"/>
      <c r="J313" s="38">
        <f t="shared" si="39"/>
        <v>887560</v>
      </c>
      <c r="K313" s="38"/>
      <c r="L313" s="38"/>
      <c r="M313" s="38"/>
      <c r="N313" s="38">
        <f>O313</f>
        <v>887560</v>
      </c>
      <c r="O313" s="38">
        <v>887560</v>
      </c>
      <c r="P313" s="56">
        <f t="shared" si="37"/>
        <v>887560</v>
      </c>
      <c r="Q313" s="54"/>
      <c r="R313" s="57"/>
      <c r="W313" s="54"/>
    </row>
    <row r="314" spans="1:23" ht="30.75" customHeight="1">
      <c r="A314" s="40"/>
      <c r="B314" s="40" t="s">
        <v>372</v>
      </c>
      <c r="C314" s="40"/>
      <c r="D314" s="61" t="s">
        <v>373</v>
      </c>
      <c r="E314" s="38">
        <f>E315</f>
        <v>1925196</v>
      </c>
      <c r="F314" s="38">
        <f>F315</f>
        <v>1925196</v>
      </c>
      <c r="G314" s="38"/>
      <c r="H314" s="38"/>
      <c r="I314" s="38"/>
      <c r="J314" s="38">
        <f t="shared" si="39"/>
        <v>325730</v>
      </c>
      <c r="K314" s="38"/>
      <c r="L314" s="38"/>
      <c r="M314" s="38"/>
      <c r="N314" s="38">
        <f>N315</f>
        <v>325730</v>
      </c>
      <c r="O314" s="38">
        <f>O315</f>
        <v>325730</v>
      </c>
      <c r="P314" s="56">
        <f t="shared" si="37"/>
        <v>2250926</v>
      </c>
      <c r="Q314" s="54"/>
      <c r="R314" s="60"/>
      <c r="W314" s="54"/>
    </row>
    <row r="315" spans="1:23" ht="12" customHeight="1">
      <c r="A315" s="40"/>
      <c r="B315" s="40" t="s">
        <v>287</v>
      </c>
      <c r="C315" s="76" t="s">
        <v>7</v>
      </c>
      <c r="D315" s="36" t="s">
        <v>316</v>
      </c>
      <c r="E315" s="38">
        <f>E319+E317+E318+E316</f>
        <v>1925196</v>
      </c>
      <c r="F315" s="38">
        <f>F319+F317+F318+F316</f>
        <v>1925196</v>
      </c>
      <c r="G315" s="38">
        <f>G319+G317</f>
        <v>0</v>
      </c>
      <c r="H315" s="38">
        <f>H319+H317</f>
        <v>0</v>
      </c>
      <c r="I315" s="38"/>
      <c r="J315" s="38">
        <f t="shared" si="39"/>
        <v>325730</v>
      </c>
      <c r="K315" s="38">
        <f>K319+K317+K318</f>
        <v>0</v>
      </c>
      <c r="L315" s="38">
        <f>L319+L317+L318</f>
        <v>0</v>
      </c>
      <c r="M315" s="38">
        <f>M319+M317+M318</f>
        <v>0</v>
      </c>
      <c r="N315" s="38">
        <f>N319+N317+N318</f>
        <v>325730</v>
      </c>
      <c r="O315" s="38">
        <f>O319+O317+O318</f>
        <v>325730</v>
      </c>
      <c r="P315" s="56">
        <f t="shared" si="37"/>
        <v>2250926</v>
      </c>
      <c r="Q315" s="54"/>
      <c r="R315" s="60"/>
      <c r="W315" s="54"/>
    </row>
    <row r="316" spans="1:23" ht="25.5" hidden="1">
      <c r="A316" s="40"/>
      <c r="B316" s="40"/>
      <c r="C316" s="40"/>
      <c r="D316" s="70" t="s">
        <v>191</v>
      </c>
      <c r="E316" s="38">
        <f>F316+I316</f>
        <v>0</v>
      </c>
      <c r="F316" s="135"/>
      <c r="G316" s="38"/>
      <c r="H316" s="38"/>
      <c r="I316" s="38"/>
      <c r="J316" s="38"/>
      <c r="K316" s="38"/>
      <c r="L316" s="38"/>
      <c r="M316" s="38"/>
      <c r="N316" s="38"/>
      <c r="O316" s="38"/>
      <c r="P316" s="56">
        <f t="shared" si="37"/>
        <v>0</v>
      </c>
      <c r="Q316" s="54"/>
      <c r="R316" s="60"/>
      <c r="W316" s="54"/>
    </row>
    <row r="317" spans="1:23" ht="38.25" customHeight="1" hidden="1">
      <c r="A317" s="40"/>
      <c r="B317" s="40"/>
      <c r="C317" s="40"/>
      <c r="D317" s="61" t="s">
        <v>387</v>
      </c>
      <c r="E317" s="38">
        <f>F317+I317</f>
        <v>0</v>
      </c>
      <c r="F317" s="38"/>
      <c r="G317" s="38"/>
      <c r="H317" s="38"/>
      <c r="I317" s="38"/>
      <c r="J317" s="38">
        <f t="shared" si="39"/>
        <v>72000</v>
      </c>
      <c r="K317" s="135"/>
      <c r="L317" s="38"/>
      <c r="M317" s="38"/>
      <c r="N317" s="38">
        <f>O317</f>
        <v>72000</v>
      </c>
      <c r="O317" s="38">
        <f>34000+38000</f>
        <v>72000</v>
      </c>
      <c r="P317" s="56">
        <f t="shared" si="37"/>
        <v>72000</v>
      </c>
      <c r="Q317" s="54"/>
      <c r="R317" s="60"/>
      <c r="W317" s="54"/>
    </row>
    <row r="318" spans="1:23" ht="25.5" customHeight="1" hidden="1">
      <c r="A318" s="40"/>
      <c r="B318" s="40"/>
      <c r="C318" s="40"/>
      <c r="D318" s="70" t="s">
        <v>86</v>
      </c>
      <c r="E318" s="38">
        <f>F318+I318</f>
        <v>1735642</v>
      </c>
      <c r="F318" s="38">
        <v>1735642</v>
      </c>
      <c r="G318" s="38"/>
      <c r="H318" s="38"/>
      <c r="I318" s="38"/>
      <c r="J318" s="38">
        <f t="shared" si="39"/>
        <v>253730</v>
      </c>
      <c r="K318" s="38"/>
      <c r="L318" s="38"/>
      <c r="M318" s="38"/>
      <c r="N318" s="38">
        <f>O318</f>
        <v>253730</v>
      </c>
      <c r="O318" s="38">
        <v>253730</v>
      </c>
      <c r="P318" s="56">
        <f t="shared" si="37"/>
        <v>1989372</v>
      </c>
      <c r="Q318" s="54"/>
      <c r="R318" s="60"/>
      <c r="W318" s="54"/>
    </row>
    <row r="319" spans="1:23" ht="52.5" customHeight="1" hidden="1">
      <c r="A319" s="40"/>
      <c r="B319" s="40"/>
      <c r="C319" s="40"/>
      <c r="D319" s="36" t="s">
        <v>64</v>
      </c>
      <c r="E319" s="38">
        <f>F319+I319</f>
        <v>189554</v>
      </c>
      <c r="F319" s="38">
        <v>189554</v>
      </c>
      <c r="G319" s="38"/>
      <c r="H319" s="38"/>
      <c r="I319" s="38"/>
      <c r="J319" s="38">
        <f t="shared" si="39"/>
        <v>0</v>
      </c>
      <c r="K319" s="38"/>
      <c r="L319" s="38"/>
      <c r="M319" s="38"/>
      <c r="N319" s="38"/>
      <c r="O319" s="38"/>
      <c r="P319" s="56">
        <f t="shared" si="37"/>
        <v>189554</v>
      </c>
      <c r="Q319" s="54"/>
      <c r="R319" s="60"/>
      <c r="W319" s="54"/>
    </row>
    <row r="320" spans="1:23" s="58" customFormat="1" ht="24" customHeight="1">
      <c r="A320" s="100"/>
      <c r="B320" s="100" t="s">
        <v>174</v>
      </c>
      <c r="C320" s="100"/>
      <c r="D320" s="99" t="s">
        <v>136</v>
      </c>
      <c r="E320" s="52">
        <f aca="true" t="shared" si="40" ref="E320:H321">E321</f>
        <v>966050</v>
      </c>
      <c r="F320" s="52">
        <f t="shared" si="40"/>
        <v>966050</v>
      </c>
      <c r="G320" s="52">
        <f t="shared" si="40"/>
        <v>592002</v>
      </c>
      <c r="H320" s="52">
        <f t="shared" si="40"/>
        <v>21921</v>
      </c>
      <c r="I320" s="52"/>
      <c r="J320" s="52">
        <f aca="true" t="shared" si="41" ref="J320:J327">K320+N320</f>
        <v>39348</v>
      </c>
      <c r="K320" s="52"/>
      <c r="L320" s="52"/>
      <c r="M320" s="52"/>
      <c r="N320" s="52">
        <f>N321</f>
        <v>39348</v>
      </c>
      <c r="O320" s="52">
        <f>O321</f>
        <v>39348</v>
      </c>
      <c r="P320" s="53">
        <f t="shared" si="37"/>
        <v>1005398</v>
      </c>
      <c r="Q320" s="54"/>
      <c r="W320" s="54"/>
    </row>
    <row r="321" spans="1:23" s="58" customFormat="1" ht="12.75" customHeight="1">
      <c r="A321" s="43"/>
      <c r="B321" s="43" t="s">
        <v>363</v>
      </c>
      <c r="C321" s="43"/>
      <c r="D321" s="44" t="s">
        <v>364</v>
      </c>
      <c r="E321" s="38">
        <f t="shared" si="40"/>
        <v>966050</v>
      </c>
      <c r="F321" s="38">
        <f>F322</f>
        <v>966050</v>
      </c>
      <c r="G321" s="38">
        <f t="shared" si="40"/>
        <v>592002</v>
      </c>
      <c r="H321" s="38">
        <f t="shared" si="40"/>
        <v>21921</v>
      </c>
      <c r="I321" s="38"/>
      <c r="J321" s="38">
        <f t="shared" si="41"/>
        <v>39348</v>
      </c>
      <c r="K321" s="38"/>
      <c r="L321" s="38"/>
      <c r="M321" s="38"/>
      <c r="N321" s="38">
        <f>N322</f>
        <v>39348</v>
      </c>
      <c r="O321" s="38">
        <f>O322</f>
        <v>39348</v>
      </c>
      <c r="P321" s="56">
        <f t="shared" si="37"/>
        <v>1005398</v>
      </c>
      <c r="Q321" s="54"/>
      <c r="W321" s="54"/>
    </row>
    <row r="322" spans="1:23" s="58" customFormat="1" ht="12.75">
      <c r="A322" s="40"/>
      <c r="B322" s="40" t="s">
        <v>248</v>
      </c>
      <c r="C322" s="76" t="s">
        <v>4</v>
      </c>
      <c r="D322" s="59" t="s">
        <v>249</v>
      </c>
      <c r="E322" s="38">
        <f>F322+I322</f>
        <v>966050</v>
      </c>
      <c r="F322" s="38">
        <f>922460+14225+29365</f>
        <v>966050</v>
      </c>
      <c r="G322" s="38">
        <f>581563+10439</f>
        <v>592002</v>
      </c>
      <c r="H322" s="37">
        <v>21921</v>
      </c>
      <c r="I322" s="37"/>
      <c r="J322" s="38">
        <f t="shared" si="41"/>
        <v>39348</v>
      </c>
      <c r="K322" s="38"/>
      <c r="L322" s="38"/>
      <c r="M322" s="38"/>
      <c r="N322" s="38">
        <f>O322</f>
        <v>39348</v>
      </c>
      <c r="O322" s="38">
        <v>39348</v>
      </c>
      <c r="P322" s="56">
        <f t="shared" si="37"/>
        <v>1005398</v>
      </c>
      <c r="Q322" s="54"/>
      <c r="W322" s="54"/>
    </row>
    <row r="323" spans="1:23" ht="24.75" customHeight="1">
      <c r="A323" s="100"/>
      <c r="B323" s="100" t="s">
        <v>178</v>
      </c>
      <c r="C323" s="100"/>
      <c r="D323" s="114" t="s">
        <v>137</v>
      </c>
      <c r="E323" s="52">
        <f>E325+E326</f>
        <v>1824694</v>
      </c>
      <c r="F323" s="52">
        <f>F325+F326</f>
        <v>1824694</v>
      </c>
      <c r="G323" s="52">
        <f aca="true" t="shared" si="42" ref="G323:O323">G325+G326</f>
        <v>1126734</v>
      </c>
      <c r="H323" s="52">
        <f t="shared" si="42"/>
        <v>96033</v>
      </c>
      <c r="I323" s="52"/>
      <c r="J323" s="52">
        <f t="shared" si="41"/>
        <v>0</v>
      </c>
      <c r="K323" s="52">
        <f t="shared" si="42"/>
        <v>0</v>
      </c>
      <c r="L323" s="52">
        <f t="shared" si="42"/>
        <v>0</v>
      </c>
      <c r="M323" s="52">
        <f t="shared" si="42"/>
        <v>0</v>
      </c>
      <c r="N323" s="52">
        <f t="shared" si="42"/>
        <v>0</v>
      </c>
      <c r="O323" s="52">
        <f t="shared" si="42"/>
        <v>0</v>
      </c>
      <c r="P323" s="52">
        <f t="shared" si="37"/>
        <v>1824694</v>
      </c>
      <c r="Q323" s="54"/>
      <c r="R323" s="60"/>
      <c r="W323" s="54"/>
    </row>
    <row r="324" spans="1:23" ht="13.5" customHeight="1">
      <c r="A324" s="40"/>
      <c r="B324" s="40" t="s">
        <v>363</v>
      </c>
      <c r="C324" s="40"/>
      <c r="D324" s="44" t="s">
        <v>364</v>
      </c>
      <c r="E324" s="38">
        <f>E325</f>
        <v>1824694</v>
      </c>
      <c r="F324" s="38">
        <f>F325</f>
        <v>1824694</v>
      </c>
      <c r="G324" s="38">
        <f>G325</f>
        <v>1126734</v>
      </c>
      <c r="H324" s="38">
        <f>H325</f>
        <v>96033</v>
      </c>
      <c r="I324" s="38"/>
      <c r="J324" s="38">
        <f t="shared" si="41"/>
        <v>0</v>
      </c>
      <c r="K324" s="38">
        <f>K325</f>
        <v>0</v>
      </c>
      <c r="L324" s="38">
        <f>L325</f>
        <v>0</v>
      </c>
      <c r="M324" s="38">
        <f>M325</f>
        <v>0</v>
      </c>
      <c r="N324" s="38">
        <f>N325</f>
        <v>0</v>
      </c>
      <c r="O324" s="38">
        <f>O325</f>
        <v>0</v>
      </c>
      <c r="P324" s="56">
        <f t="shared" si="37"/>
        <v>1824694</v>
      </c>
      <c r="Q324" s="54"/>
      <c r="R324" s="60"/>
      <c r="W324" s="54"/>
    </row>
    <row r="325" spans="1:23" ht="13.5" customHeight="1">
      <c r="A325" s="40"/>
      <c r="B325" s="40" t="s">
        <v>248</v>
      </c>
      <c r="C325" s="76" t="s">
        <v>4</v>
      </c>
      <c r="D325" s="59" t="s">
        <v>249</v>
      </c>
      <c r="E325" s="38">
        <f>F325+I325</f>
        <v>1824694</v>
      </c>
      <c r="F325" s="38">
        <f>1800265+24429</f>
        <v>1824694</v>
      </c>
      <c r="G325" s="38">
        <f>1108811+17923</f>
        <v>1126734</v>
      </c>
      <c r="H325" s="37">
        <v>96033</v>
      </c>
      <c r="I325" s="37"/>
      <c r="J325" s="38">
        <f t="shared" si="41"/>
        <v>0</v>
      </c>
      <c r="K325" s="38"/>
      <c r="L325" s="38"/>
      <c r="M325" s="38"/>
      <c r="N325" s="38">
        <f>O325</f>
        <v>0</v>
      </c>
      <c r="O325" s="38"/>
      <c r="P325" s="56">
        <f t="shared" si="37"/>
        <v>1824694</v>
      </c>
      <c r="Q325" s="54"/>
      <c r="R325" s="60"/>
      <c r="W325" s="54"/>
    </row>
    <row r="326" spans="1:23" s="55" customFormat="1" ht="25.5" hidden="1">
      <c r="A326" s="76"/>
      <c r="B326" s="76" t="s">
        <v>138</v>
      </c>
      <c r="C326" s="76"/>
      <c r="D326" s="75" t="s">
        <v>139</v>
      </c>
      <c r="E326" s="38"/>
      <c r="F326" s="38"/>
      <c r="G326" s="38"/>
      <c r="H326" s="38"/>
      <c r="I326" s="38"/>
      <c r="J326" s="38">
        <f t="shared" si="41"/>
        <v>0</v>
      </c>
      <c r="K326" s="38">
        <f>K327</f>
        <v>0</v>
      </c>
      <c r="L326" s="38">
        <f>L327</f>
        <v>0</v>
      </c>
      <c r="M326" s="38">
        <f>M327</f>
        <v>0</v>
      </c>
      <c r="N326" s="38">
        <f>N327</f>
        <v>0</v>
      </c>
      <c r="O326" s="38">
        <f>O327</f>
        <v>0</v>
      </c>
      <c r="P326" s="56">
        <f t="shared" si="37"/>
        <v>0</v>
      </c>
      <c r="Q326" s="54"/>
      <c r="R326" s="54"/>
      <c r="W326" s="54"/>
    </row>
    <row r="327" spans="1:23" ht="12.75" hidden="1">
      <c r="A327" s="76"/>
      <c r="B327" s="76" t="s">
        <v>140</v>
      </c>
      <c r="C327" s="76"/>
      <c r="D327" s="75" t="s">
        <v>141</v>
      </c>
      <c r="E327" s="38"/>
      <c r="F327" s="38"/>
      <c r="G327" s="38"/>
      <c r="H327" s="38"/>
      <c r="I327" s="38"/>
      <c r="J327" s="38">
        <f t="shared" si="41"/>
        <v>0</v>
      </c>
      <c r="K327" s="38"/>
      <c r="L327" s="38"/>
      <c r="M327" s="38"/>
      <c r="N327" s="38"/>
      <c r="O327" s="38"/>
      <c r="P327" s="56">
        <f t="shared" si="37"/>
        <v>0</v>
      </c>
      <c r="Q327" s="54"/>
      <c r="W327" s="54"/>
    </row>
    <row r="328" spans="1:23" ht="25.5">
      <c r="A328" s="100"/>
      <c r="B328" s="100" t="s">
        <v>173</v>
      </c>
      <c r="C328" s="100"/>
      <c r="D328" s="111" t="s">
        <v>123</v>
      </c>
      <c r="E328" s="52">
        <f>E330+E341+E335</f>
        <v>1674915</v>
      </c>
      <c r="F328" s="52">
        <f>F330+F341+F335</f>
        <v>1674915</v>
      </c>
      <c r="G328" s="52">
        <f>G330+G341+G335</f>
        <v>759828</v>
      </c>
      <c r="H328" s="52">
        <f>H330+H341+H335</f>
        <v>57405</v>
      </c>
      <c r="I328" s="52">
        <f>I330+I341+I335</f>
        <v>0</v>
      </c>
      <c r="J328" s="52">
        <f>K328+N328</f>
        <v>41278072</v>
      </c>
      <c r="K328" s="52">
        <f>K330+K337+K341+K340+K334+K331+K338</f>
        <v>15000</v>
      </c>
      <c r="L328" s="52">
        <f>L330+L337+L341+L340</f>
        <v>0</v>
      </c>
      <c r="M328" s="52">
        <f>M330+M337+M341+M340</f>
        <v>0</v>
      </c>
      <c r="N328" s="52">
        <f>N330+N337+N341+N340+N334+N331+N338</f>
        <v>41263072</v>
      </c>
      <c r="O328" s="52">
        <f>O330+O337+O341+O340+O334+O331+O338</f>
        <v>11279308</v>
      </c>
      <c r="P328" s="53">
        <f t="shared" si="37"/>
        <v>42952987</v>
      </c>
      <c r="Q328" s="54"/>
      <c r="R328" s="60"/>
      <c r="W328" s="54"/>
    </row>
    <row r="329" spans="1:23" ht="12.75">
      <c r="A329" s="43"/>
      <c r="B329" s="43" t="s">
        <v>363</v>
      </c>
      <c r="C329" s="43"/>
      <c r="D329" s="44" t="s">
        <v>364</v>
      </c>
      <c r="E329" s="37">
        <f>E330</f>
        <v>1198249</v>
      </c>
      <c r="F329" s="37">
        <f>F330</f>
        <v>1198249</v>
      </c>
      <c r="G329" s="37">
        <f>G330</f>
        <v>759828</v>
      </c>
      <c r="H329" s="37">
        <f>H330</f>
        <v>57405</v>
      </c>
      <c r="I329" s="37"/>
      <c r="J329" s="38">
        <f aca="true" t="shared" si="43" ref="J329:J343">K329+N329</f>
        <v>0</v>
      </c>
      <c r="K329" s="37"/>
      <c r="L329" s="37"/>
      <c r="M329" s="37"/>
      <c r="N329" s="37">
        <f aca="true" t="shared" si="44" ref="N329:N334">O329</f>
        <v>0</v>
      </c>
      <c r="O329" s="37">
        <f>O330</f>
        <v>0</v>
      </c>
      <c r="P329" s="56">
        <f t="shared" si="37"/>
        <v>1198249</v>
      </c>
      <c r="Q329" s="54"/>
      <c r="R329" s="60"/>
      <c r="W329" s="54"/>
    </row>
    <row r="330" spans="1:23" ht="12.75">
      <c r="A330" s="40"/>
      <c r="B330" s="40" t="s">
        <v>248</v>
      </c>
      <c r="C330" s="76" t="s">
        <v>4</v>
      </c>
      <c r="D330" s="59" t="s">
        <v>249</v>
      </c>
      <c r="E330" s="38">
        <f>F330+I330</f>
        <v>1198249</v>
      </c>
      <c r="F330" s="38">
        <f>1191527+6722</f>
        <v>1198249</v>
      </c>
      <c r="G330" s="38">
        <f>754893+4935</f>
        <v>759828</v>
      </c>
      <c r="H330" s="38">
        <v>57405</v>
      </c>
      <c r="I330" s="38"/>
      <c r="J330" s="38">
        <f t="shared" si="43"/>
        <v>0</v>
      </c>
      <c r="K330" s="38"/>
      <c r="L330" s="38"/>
      <c r="M330" s="38"/>
      <c r="N330" s="38">
        <f t="shared" si="44"/>
        <v>0</v>
      </c>
      <c r="O330" s="38"/>
      <c r="P330" s="56">
        <f t="shared" si="37"/>
        <v>1198249</v>
      </c>
      <c r="Q330" s="54"/>
      <c r="R330" s="60"/>
      <c r="W330" s="54"/>
    </row>
    <row r="331" spans="1:23" ht="12.75" hidden="1">
      <c r="A331" s="40"/>
      <c r="B331" s="40" t="s">
        <v>367</v>
      </c>
      <c r="C331" s="40"/>
      <c r="D331" s="36" t="s">
        <v>282</v>
      </c>
      <c r="E331" s="38"/>
      <c r="F331" s="38"/>
      <c r="G331" s="38"/>
      <c r="H331" s="38"/>
      <c r="I331" s="38"/>
      <c r="J331" s="38">
        <f t="shared" si="43"/>
        <v>0</v>
      </c>
      <c r="K331" s="38"/>
      <c r="L331" s="38"/>
      <c r="M331" s="38"/>
      <c r="N331" s="38">
        <f t="shared" si="44"/>
        <v>0</v>
      </c>
      <c r="O331" s="38">
        <f>O332</f>
        <v>0</v>
      </c>
      <c r="P331" s="56">
        <f t="shared" si="37"/>
        <v>0</v>
      </c>
      <c r="Q331" s="54"/>
      <c r="R331" s="60"/>
      <c r="W331" s="54"/>
    </row>
    <row r="332" spans="1:23" ht="12.75" hidden="1">
      <c r="A332" s="40"/>
      <c r="B332" s="40" t="s">
        <v>338</v>
      </c>
      <c r="C332" s="40"/>
      <c r="D332" s="36" t="s">
        <v>339</v>
      </c>
      <c r="E332" s="38"/>
      <c r="F332" s="38"/>
      <c r="G332" s="38"/>
      <c r="H332" s="38"/>
      <c r="I332" s="38"/>
      <c r="J332" s="38">
        <f t="shared" si="43"/>
        <v>0</v>
      </c>
      <c r="K332" s="38"/>
      <c r="L332" s="38"/>
      <c r="M332" s="38"/>
      <c r="N332" s="38">
        <f t="shared" si="44"/>
        <v>0</v>
      </c>
      <c r="O332" s="38">
        <f>2000000-2000000</f>
        <v>0</v>
      </c>
      <c r="P332" s="56">
        <f t="shared" si="37"/>
        <v>0</v>
      </c>
      <c r="Q332" s="54"/>
      <c r="R332" s="60"/>
      <c r="W332" s="54"/>
    </row>
    <row r="333" spans="1:23" ht="25.5" hidden="1">
      <c r="A333" s="40"/>
      <c r="B333" s="40" t="s">
        <v>377</v>
      </c>
      <c r="C333" s="40"/>
      <c r="D333" s="59" t="s">
        <v>378</v>
      </c>
      <c r="E333" s="38"/>
      <c r="F333" s="38"/>
      <c r="G333" s="38"/>
      <c r="H333" s="38"/>
      <c r="I333" s="38"/>
      <c r="J333" s="38">
        <f t="shared" si="43"/>
        <v>0</v>
      </c>
      <c r="K333" s="38"/>
      <c r="L333" s="38"/>
      <c r="M333" s="38"/>
      <c r="N333" s="38">
        <f t="shared" si="44"/>
        <v>0</v>
      </c>
      <c r="O333" s="38">
        <f>O334</f>
        <v>0</v>
      </c>
      <c r="P333" s="56">
        <f t="shared" si="37"/>
        <v>0</v>
      </c>
      <c r="Q333" s="54"/>
      <c r="R333" s="60"/>
      <c r="W333" s="54"/>
    </row>
    <row r="334" spans="1:23" ht="51" hidden="1">
      <c r="A334" s="40"/>
      <c r="B334" s="40" t="s">
        <v>355</v>
      </c>
      <c r="C334" s="40"/>
      <c r="D334" s="70" t="s">
        <v>206</v>
      </c>
      <c r="E334" s="38"/>
      <c r="F334" s="38"/>
      <c r="G334" s="38"/>
      <c r="H334" s="38"/>
      <c r="I334" s="38"/>
      <c r="J334" s="38">
        <f t="shared" si="43"/>
        <v>0</v>
      </c>
      <c r="K334" s="38"/>
      <c r="L334" s="38"/>
      <c r="M334" s="38"/>
      <c r="N334" s="38">
        <f t="shared" si="44"/>
        <v>0</v>
      </c>
      <c r="O334" s="38">
        <f>4800000-4800000</f>
        <v>0</v>
      </c>
      <c r="P334" s="56">
        <f t="shared" si="37"/>
        <v>0</v>
      </c>
      <c r="Q334" s="54"/>
      <c r="R334" s="60"/>
      <c r="W334" s="54"/>
    </row>
    <row r="335" spans="1:23" ht="25.5">
      <c r="A335" s="76"/>
      <c r="B335" s="76" t="s">
        <v>408</v>
      </c>
      <c r="C335" s="150"/>
      <c r="D335" s="145" t="s">
        <v>406</v>
      </c>
      <c r="E335" s="38">
        <f>E336+E337</f>
        <v>476666</v>
      </c>
      <c r="F335" s="38">
        <f>F336+F337</f>
        <v>476666</v>
      </c>
      <c r="G335" s="38"/>
      <c r="H335" s="38"/>
      <c r="I335" s="38">
        <f>I336+I337</f>
        <v>0</v>
      </c>
      <c r="J335" s="38">
        <f t="shared" si="43"/>
        <v>11279308</v>
      </c>
      <c r="K335" s="38"/>
      <c r="L335" s="38"/>
      <c r="M335" s="38"/>
      <c r="N335" s="38">
        <f>O335</f>
        <v>11279308</v>
      </c>
      <c r="O335" s="38">
        <f>O336+O337</f>
        <v>11279308</v>
      </c>
      <c r="P335" s="56">
        <f t="shared" si="37"/>
        <v>11755974</v>
      </c>
      <c r="Q335" s="54"/>
      <c r="R335" s="60"/>
      <c r="W335" s="54"/>
    </row>
    <row r="336" spans="1:23" ht="25.5">
      <c r="A336" s="76"/>
      <c r="B336" s="76" t="s">
        <v>405</v>
      </c>
      <c r="C336" s="150" t="s">
        <v>17</v>
      </c>
      <c r="D336" s="145" t="s">
        <v>407</v>
      </c>
      <c r="E336" s="38">
        <f>F336+I336</f>
        <v>60000</v>
      </c>
      <c r="F336" s="38">
        <v>60000</v>
      </c>
      <c r="G336" s="38"/>
      <c r="H336" s="38"/>
      <c r="I336" s="38"/>
      <c r="J336" s="38"/>
      <c r="K336" s="38"/>
      <c r="L336" s="38"/>
      <c r="M336" s="38"/>
      <c r="N336" s="38"/>
      <c r="O336" s="38"/>
      <c r="P336" s="56">
        <f t="shared" si="37"/>
        <v>60000</v>
      </c>
      <c r="Q336" s="54"/>
      <c r="R336" s="60"/>
      <c r="W336" s="54"/>
    </row>
    <row r="337" spans="1:23" ht="12.75">
      <c r="A337" s="40"/>
      <c r="B337" s="76" t="s">
        <v>428</v>
      </c>
      <c r="C337" s="76" t="s">
        <v>16</v>
      </c>
      <c r="D337" s="59" t="s">
        <v>429</v>
      </c>
      <c r="E337" s="38">
        <f>F337+I337</f>
        <v>416666</v>
      </c>
      <c r="F337" s="38">
        <f>267500+51166+98000</f>
        <v>416666</v>
      </c>
      <c r="G337" s="38"/>
      <c r="H337" s="38"/>
      <c r="I337" s="38"/>
      <c r="J337" s="38">
        <f t="shared" si="43"/>
        <v>11979308</v>
      </c>
      <c r="K337" s="38"/>
      <c r="L337" s="38"/>
      <c r="M337" s="38"/>
      <c r="N337" s="38">
        <f>O337+700000</f>
        <v>11979308</v>
      </c>
      <c r="O337" s="38">
        <f>12752000-1323526-51166-98000</f>
        <v>11279308</v>
      </c>
      <c r="P337" s="56">
        <f t="shared" si="37"/>
        <v>12395974</v>
      </c>
      <c r="Q337" s="54"/>
      <c r="R337" s="60"/>
      <c r="W337" s="54"/>
    </row>
    <row r="338" spans="1:23" ht="12.75">
      <c r="A338" s="40"/>
      <c r="B338" s="40" t="s">
        <v>370</v>
      </c>
      <c r="C338" s="40"/>
      <c r="D338" s="61" t="s">
        <v>374</v>
      </c>
      <c r="E338" s="38"/>
      <c r="F338" s="38"/>
      <c r="G338" s="38"/>
      <c r="H338" s="38"/>
      <c r="I338" s="38"/>
      <c r="J338" s="38">
        <f t="shared" si="43"/>
        <v>29298764</v>
      </c>
      <c r="K338" s="38">
        <f>K339</f>
        <v>15000</v>
      </c>
      <c r="L338" s="38"/>
      <c r="M338" s="38"/>
      <c r="N338" s="38">
        <f>N339</f>
        <v>29283764</v>
      </c>
      <c r="O338" s="38">
        <f>O339</f>
        <v>0</v>
      </c>
      <c r="P338" s="56">
        <f t="shared" si="37"/>
        <v>29298764</v>
      </c>
      <c r="Q338" s="54"/>
      <c r="R338" s="60"/>
      <c r="W338" s="54"/>
    </row>
    <row r="339" spans="1:23" s="162" customFormat="1" ht="25.5">
      <c r="A339" s="157"/>
      <c r="B339" s="40" t="s">
        <v>337</v>
      </c>
      <c r="C339" s="76" t="s">
        <v>17</v>
      </c>
      <c r="D339" s="61" t="s">
        <v>352</v>
      </c>
      <c r="E339" s="38">
        <f>F339</f>
        <v>0</v>
      </c>
      <c r="F339" s="38"/>
      <c r="G339" s="38"/>
      <c r="H339" s="38"/>
      <c r="I339" s="38"/>
      <c r="J339" s="38">
        <f t="shared" si="43"/>
        <v>29298764</v>
      </c>
      <c r="K339" s="38">
        <f>66166-51166</f>
        <v>15000</v>
      </c>
      <c r="L339" s="38"/>
      <c r="M339" s="38"/>
      <c r="N339" s="38">
        <f>29232598+51166</f>
        <v>29283764</v>
      </c>
      <c r="O339" s="38"/>
      <c r="P339" s="56">
        <f>E339+J339</f>
        <v>29298764</v>
      </c>
      <c r="Q339" s="158"/>
      <c r="R339" s="161"/>
      <c r="W339" s="158"/>
    </row>
    <row r="340" spans="1:23" ht="25.5" hidden="1">
      <c r="A340" s="40"/>
      <c r="B340" s="40" t="s">
        <v>286</v>
      </c>
      <c r="C340" s="40"/>
      <c r="D340" s="61" t="s">
        <v>333</v>
      </c>
      <c r="E340" s="38"/>
      <c r="F340" s="38"/>
      <c r="G340" s="38"/>
      <c r="H340" s="38"/>
      <c r="I340" s="38"/>
      <c r="J340" s="38">
        <f t="shared" si="43"/>
        <v>0</v>
      </c>
      <c r="K340" s="38"/>
      <c r="L340" s="38"/>
      <c r="M340" s="38"/>
      <c r="N340" s="38"/>
      <c r="O340" s="38"/>
      <c r="P340" s="56">
        <f t="shared" si="37"/>
        <v>0</v>
      </c>
      <c r="Q340" s="54"/>
      <c r="R340" s="60"/>
      <c r="W340" s="54"/>
    </row>
    <row r="341" spans="1:23" s="55" customFormat="1" ht="25.5" hidden="1">
      <c r="A341" s="76"/>
      <c r="B341" s="76" t="s">
        <v>372</v>
      </c>
      <c r="C341" s="76"/>
      <c r="D341" s="75" t="s">
        <v>373</v>
      </c>
      <c r="E341" s="38">
        <f>E342</f>
        <v>0</v>
      </c>
      <c r="F341" s="38"/>
      <c r="G341" s="38"/>
      <c r="H341" s="38"/>
      <c r="I341" s="38"/>
      <c r="J341" s="38">
        <f t="shared" si="43"/>
        <v>0</v>
      </c>
      <c r="K341" s="38"/>
      <c r="L341" s="38"/>
      <c r="M341" s="38"/>
      <c r="N341" s="38"/>
      <c r="O341" s="38"/>
      <c r="P341" s="56">
        <f t="shared" si="37"/>
        <v>0</v>
      </c>
      <c r="Q341" s="54"/>
      <c r="R341" s="54"/>
      <c r="W341" s="54"/>
    </row>
    <row r="342" spans="1:23" s="58" customFormat="1" ht="12.75" hidden="1">
      <c r="A342" s="76"/>
      <c r="B342" s="76" t="s">
        <v>287</v>
      </c>
      <c r="C342" s="76"/>
      <c r="D342" s="70" t="s">
        <v>316</v>
      </c>
      <c r="E342" s="38">
        <f>E343</f>
        <v>0</v>
      </c>
      <c r="F342" s="38"/>
      <c r="G342" s="38"/>
      <c r="H342" s="38"/>
      <c r="I342" s="38"/>
      <c r="J342" s="38">
        <f t="shared" si="43"/>
        <v>0</v>
      </c>
      <c r="K342" s="38"/>
      <c r="L342" s="38"/>
      <c r="M342" s="38"/>
      <c r="N342" s="38"/>
      <c r="O342" s="38"/>
      <c r="P342" s="56">
        <f t="shared" si="37"/>
        <v>0</v>
      </c>
      <c r="Q342" s="54"/>
      <c r="R342" s="57"/>
      <c r="W342" s="54"/>
    </row>
    <row r="343" spans="1:23" ht="27.75" customHeight="1" hidden="1">
      <c r="A343" s="40"/>
      <c r="B343" s="40"/>
      <c r="C343" s="40"/>
      <c r="D343" s="70" t="s">
        <v>193</v>
      </c>
      <c r="E343" s="38"/>
      <c r="F343" s="38"/>
      <c r="G343" s="38"/>
      <c r="H343" s="38"/>
      <c r="I343" s="38"/>
      <c r="J343" s="38">
        <f t="shared" si="43"/>
        <v>0</v>
      </c>
      <c r="K343" s="38"/>
      <c r="L343" s="38"/>
      <c r="M343" s="38"/>
      <c r="N343" s="38"/>
      <c r="O343" s="38"/>
      <c r="P343" s="56">
        <f t="shared" si="37"/>
        <v>0</v>
      </c>
      <c r="Q343" s="54"/>
      <c r="R343" s="60"/>
      <c r="W343" s="54"/>
    </row>
    <row r="344" spans="1:23" ht="41.25" customHeight="1">
      <c r="A344" s="100"/>
      <c r="B344" s="100" t="s">
        <v>171</v>
      </c>
      <c r="C344" s="100"/>
      <c r="D344" s="111" t="s">
        <v>127</v>
      </c>
      <c r="E344" s="52">
        <f>E345+E353+E349+E360+E354+E347+E357</f>
        <v>39984677</v>
      </c>
      <c r="F344" s="52">
        <f>F345+F353+F349+F360+F354+F347+F357</f>
        <v>39984677</v>
      </c>
      <c r="G344" s="52">
        <f>G345+G353+G349+G360+G354</f>
        <v>839473</v>
      </c>
      <c r="H344" s="52">
        <f>H345+H353+H349+H360+H354</f>
        <v>23616</v>
      </c>
      <c r="I344" s="52"/>
      <c r="J344" s="52">
        <f>K344+N344</f>
        <v>54858691</v>
      </c>
      <c r="K344" s="52">
        <f>K345+K353+K349+K360+K354</f>
        <v>0</v>
      </c>
      <c r="L344" s="52">
        <f>L345+L353+L349+L360+L354</f>
        <v>0</v>
      </c>
      <c r="M344" s="52">
        <f>M345+M353+M349+M360+M354</f>
        <v>0</v>
      </c>
      <c r="N344" s="52">
        <f>N345+N353+N349+N360+N354+N357+N351</f>
        <v>54858691</v>
      </c>
      <c r="O344" s="52">
        <f>O345+O353+O349+O360+O354+O357+O351</f>
        <v>54858691</v>
      </c>
      <c r="P344" s="52">
        <f>P345+P353+P349+P357+P360+P354+P351+P347</f>
        <v>94843368</v>
      </c>
      <c r="Q344" s="54"/>
      <c r="R344" s="60"/>
      <c r="W344" s="54"/>
    </row>
    <row r="345" spans="1:23" ht="12.75">
      <c r="A345" s="40"/>
      <c r="B345" s="40" t="s">
        <v>363</v>
      </c>
      <c r="C345" s="40"/>
      <c r="D345" s="59" t="s">
        <v>364</v>
      </c>
      <c r="E345" s="38">
        <f aca="true" t="shared" si="45" ref="E345:P345">E346</f>
        <v>1252753</v>
      </c>
      <c r="F345" s="38">
        <f>F346</f>
        <v>1252753</v>
      </c>
      <c r="G345" s="38">
        <f t="shared" si="45"/>
        <v>839473</v>
      </c>
      <c r="H345" s="38">
        <f t="shared" si="45"/>
        <v>23616</v>
      </c>
      <c r="I345" s="38"/>
      <c r="J345" s="38">
        <f t="shared" si="45"/>
        <v>6986</v>
      </c>
      <c r="K345" s="38">
        <f t="shared" si="45"/>
        <v>0</v>
      </c>
      <c r="L345" s="38">
        <f t="shared" si="45"/>
        <v>0</v>
      </c>
      <c r="M345" s="38">
        <f t="shared" si="45"/>
        <v>0</v>
      </c>
      <c r="N345" s="38">
        <f t="shared" si="45"/>
        <v>6986</v>
      </c>
      <c r="O345" s="38">
        <f t="shared" si="45"/>
        <v>6986</v>
      </c>
      <c r="P345" s="38">
        <f t="shared" si="45"/>
        <v>1259739</v>
      </c>
      <c r="Q345" s="54"/>
      <c r="R345" s="60"/>
      <c r="W345" s="54"/>
    </row>
    <row r="346" spans="1:23" ht="12.75">
      <c r="A346" s="40"/>
      <c r="B346" s="40" t="s">
        <v>248</v>
      </c>
      <c r="C346" s="76" t="s">
        <v>4</v>
      </c>
      <c r="D346" s="59" t="s">
        <v>249</v>
      </c>
      <c r="E346" s="38">
        <f>F346</f>
        <v>1252753</v>
      </c>
      <c r="F346" s="38">
        <f>1229267+23486</f>
        <v>1252753</v>
      </c>
      <c r="G346" s="38">
        <f>822242+17231</f>
        <v>839473</v>
      </c>
      <c r="H346" s="38">
        <v>23616</v>
      </c>
      <c r="I346" s="38"/>
      <c r="J346" s="38">
        <f aca="true" t="shared" si="46" ref="J346:J364">K346+N346</f>
        <v>6986</v>
      </c>
      <c r="K346" s="38"/>
      <c r="L346" s="38"/>
      <c r="M346" s="38"/>
      <c r="N346" s="38">
        <f>O346</f>
        <v>6986</v>
      </c>
      <c r="O346" s="38">
        <v>6986</v>
      </c>
      <c r="P346" s="56">
        <f aca="true" t="shared" si="47" ref="P346:P400">E346+J346</f>
        <v>1259739</v>
      </c>
      <c r="Q346" s="54"/>
      <c r="R346" s="60"/>
      <c r="W346" s="54"/>
    </row>
    <row r="347" spans="1:23" ht="12.75" hidden="1">
      <c r="A347" s="76"/>
      <c r="B347" s="76" t="s">
        <v>375</v>
      </c>
      <c r="C347" s="76"/>
      <c r="D347" s="36" t="s">
        <v>376</v>
      </c>
      <c r="E347" s="38">
        <f>E348</f>
        <v>0</v>
      </c>
      <c r="F347" s="38">
        <f>F348</f>
        <v>0</v>
      </c>
      <c r="G347" s="38"/>
      <c r="H347" s="38"/>
      <c r="I347" s="38"/>
      <c r="J347" s="38"/>
      <c r="K347" s="38"/>
      <c r="L347" s="38"/>
      <c r="M347" s="38"/>
      <c r="N347" s="38"/>
      <c r="O347" s="38"/>
      <c r="P347" s="56">
        <f t="shared" si="47"/>
        <v>0</v>
      </c>
      <c r="Q347" s="54"/>
      <c r="R347" s="60"/>
      <c r="W347" s="54"/>
    </row>
    <row r="348" spans="1:23" ht="12.75" hidden="1">
      <c r="A348" s="76"/>
      <c r="B348" s="76" t="s">
        <v>93</v>
      </c>
      <c r="C348" s="76"/>
      <c r="D348" s="70" t="s">
        <v>97</v>
      </c>
      <c r="E348" s="38">
        <f>F348+I348</f>
        <v>0</v>
      </c>
      <c r="F348" s="38"/>
      <c r="G348" s="38"/>
      <c r="H348" s="38"/>
      <c r="I348" s="38"/>
      <c r="J348" s="38"/>
      <c r="K348" s="38"/>
      <c r="L348" s="38"/>
      <c r="M348" s="38"/>
      <c r="N348" s="38"/>
      <c r="O348" s="38"/>
      <c r="P348" s="56">
        <f t="shared" si="47"/>
        <v>0</v>
      </c>
      <c r="Q348" s="54"/>
      <c r="R348" s="60"/>
      <c r="W348" s="54"/>
    </row>
    <row r="349" spans="1:23" ht="12.75">
      <c r="A349" s="76"/>
      <c r="B349" s="76" t="s">
        <v>365</v>
      </c>
      <c r="C349" s="76"/>
      <c r="D349" s="36" t="s">
        <v>366</v>
      </c>
      <c r="E349" s="38">
        <f>E350</f>
        <v>2700000</v>
      </c>
      <c r="F349" s="38">
        <f>F350</f>
        <v>2700000</v>
      </c>
      <c r="G349" s="38">
        <f aca="true" t="shared" si="48" ref="G349:O349">G350</f>
        <v>0</v>
      </c>
      <c r="H349" s="38">
        <f t="shared" si="48"/>
        <v>0</v>
      </c>
      <c r="I349" s="38"/>
      <c r="J349" s="38">
        <f t="shared" si="46"/>
        <v>143525</v>
      </c>
      <c r="K349" s="38">
        <f t="shared" si="48"/>
        <v>0</v>
      </c>
      <c r="L349" s="38">
        <f t="shared" si="48"/>
        <v>0</v>
      </c>
      <c r="M349" s="38">
        <f t="shared" si="48"/>
        <v>0</v>
      </c>
      <c r="N349" s="38">
        <f t="shared" si="48"/>
        <v>143525</v>
      </c>
      <c r="O349" s="38">
        <f t="shared" si="48"/>
        <v>143525</v>
      </c>
      <c r="P349" s="56">
        <f t="shared" si="47"/>
        <v>2843525</v>
      </c>
      <c r="Q349" s="54"/>
      <c r="R349" s="60"/>
      <c r="W349" s="54"/>
    </row>
    <row r="350" spans="1:23" ht="12.75">
      <c r="A350" s="76"/>
      <c r="B350" s="76" t="s">
        <v>392</v>
      </c>
      <c r="C350" s="76" t="s">
        <v>5</v>
      </c>
      <c r="D350" s="77" t="s">
        <v>393</v>
      </c>
      <c r="E350" s="38">
        <f>F350+I350</f>
        <v>2700000</v>
      </c>
      <c r="F350" s="38">
        <v>2700000</v>
      </c>
      <c r="G350" s="38"/>
      <c r="H350" s="38"/>
      <c r="I350" s="38"/>
      <c r="J350" s="38">
        <f t="shared" si="46"/>
        <v>143525</v>
      </c>
      <c r="K350" s="38"/>
      <c r="L350" s="38"/>
      <c r="M350" s="38"/>
      <c r="N350" s="38">
        <f>O350</f>
        <v>143525</v>
      </c>
      <c r="O350" s="38">
        <v>143525</v>
      </c>
      <c r="P350" s="56">
        <f t="shared" si="47"/>
        <v>2843525</v>
      </c>
      <c r="Q350" s="54"/>
      <c r="R350" s="60"/>
      <c r="W350" s="54"/>
    </row>
    <row r="351" spans="1:23" ht="12.75">
      <c r="A351" s="40"/>
      <c r="B351" s="40" t="s">
        <v>367</v>
      </c>
      <c r="C351" s="40"/>
      <c r="D351" s="36" t="s">
        <v>282</v>
      </c>
      <c r="E351" s="78"/>
      <c r="F351" s="78"/>
      <c r="G351" s="38"/>
      <c r="H351" s="38"/>
      <c r="I351" s="38"/>
      <c r="J351" s="38">
        <f t="shared" si="46"/>
        <v>5504049</v>
      </c>
      <c r="K351" s="38"/>
      <c r="L351" s="38"/>
      <c r="M351" s="38"/>
      <c r="N351" s="38">
        <f>N352</f>
        <v>5504049</v>
      </c>
      <c r="O351" s="38">
        <f>O352</f>
        <v>5504049</v>
      </c>
      <c r="P351" s="56">
        <f t="shared" si="47"/>
        <v>5504049</v>
      </c>
      <c r="Q351" s="54"/>
      <c r="R351" s="60"/>
      <c r="W351" s="54"/>
    </row>
    <row r="352" spans="1:23" ht="12.75">
      <c r="A352" s="40"/>
      <c r="B352" s="40" t="s">
        <v>338</v>
      </c>
      <c r="C352" s="76" t="s">
        <v>6</v>
      </c>
      <c r="D352" s="36" t="s">
        <v>339</v>
      </c>
      <c r="E352" s="38"/>
      <c r="F352" s="38"/>
      <c r="G352" s="38"/>
      <c r="H352" s="38"/>
      <c r="I352" s="38"/>
      <c r="J352" s="38">
        <f t="shared" si="46"/>
        <v>5504049</v>
      </c>
      <c r="K352" s="38"/>
      <c r="L352" s="38"/>
      <c r="M352" s="38"/>
      <c r="N352" s="38">
        <f>O352</f>
        <v>5504049</v>
      </c>
      <c r="O352" s="78">
        <f>2389597+2015175+924644+474633-300000</f>
        <v>5504049</v>
      </c>
      <c r="P352" s="56">
        <f t="shared" si="47"/>
        <v>5504049</v>
      </c>
      <c r="Q352" s="54"/>
      <c r="R352" s="60"/>
      <c r="W352" s="54"/>
    </row>
    <row r="353" spans="1:23" ht="24.75" customHeight="1" hidden="1">
      <c r="A353" s="40"/>
      <c r="B353" s="40" t="s">
        <v>368</v>
      </c>
      <c r="C353" s="40"/>
      <c r="D353" s="36" t="s">
        <v>369</v>
      </c>
      <c r="E353" s="38"/>
      <c r="F353" s="38"/>
      <c r="G353" s="38">
        <f>G356</f>
        <v>0</v>
      </c>
      <c r="H353" s="38">
        <f>H356</f>
        <v>0</v>
      </c>
      <c r="I353" s="38"/>
      <c r="J353" s="38">
        <f t="shared" si="46"/>
        <v>0</v>
      </c>
      <c r="K353" s="38"/>
      <c r="L353" s="38"/>
      <c r="M353" s="38"/>
      <c r="N353" s="38"/>
      <c r="O353" s="78"/>
      <c r="P353" s="56">
        <f t="shared" si="47"/>
        <v>0</v>
      </c>
      <c r="Q353" s="54"/>
      <c r="R353" s="60"/>
      <c r="W353" s="54"/>
    </row>
    <row r="354" spans="1:23" ht="34.5" customHeight="1">
      <c r="A354" s="76"/>
      <c r="B354" s="76" t="s">
        <v>368</v>
      </c>
      <c r="C354" s="76"/>
      <c r="D354" s="70" t="s">
        <v>369</v>
      </c>
      <c r="E354" s="38">
        <f>E355+E356</f>
        <v>36031924</v>
      </c>
      <c r="F354" s="38">
        <f>F355+F356</f>
        <v>36031924</v>
      </c>
      <c r="G354" s="38"/>
      <c r="H354" s="38"/>
      <c r="I354" s="38"/>
      <c r="J354" s="38">
        <f t="shared" si="46"/>
        <v>11661651</v>
      </c>
      <c r="K354" s="38">
        <f>K355</f>
        <v>0</v>
      </c>
      <c r="L354" s="38">
        <f>L355</f>
        <v>0</v>
      </c>
      <c r="M354" s="38">
        <f>M355</f>
        <v>0</v>
      </c>
      <c r="N354" s="38">
        <f>N355+N356</f>
        <v>11661651</v>
      </c>
      <c r="O354" s="78">
        <f>O355+O356</f>
        <v>11661651</v>
      </c>
      <c r="P354" s="56">
        <f t="shared" si="47"/>
        <v>47693575</v>
      </c>
      <c r="Q354" s="54"/>
      <c r="R354" s="60"/>
      <c r="W354" s="54"/>
    </row>
    <row r="355" spans="1:23" ht="25.5">
      <c r="A355" s="76"/>
      <c r="B355" s="76" t="s">
        <v>204</v>
      </c>
      <c r="C355" s="76" t="s">
        <v>40</v>
      </c>
      <c r="D355" s="70" t="s">
        <v>205</v>
      </c>
      <c r="E355" s="78">
        <f>F355+I355</f>
        <v>3231924</v>
      </c>
      <c r="F355" s="78">
        <f>2500000+833000-101076</f>
        <v>3231924</v>
      </c>
      <c r="G355" s="38"/>
      <c r="H355" s="38"/>
      <c r="I355" s="38"/>
      <c r="J355" s="38">
        <f t="shared" si="46"/>
        <v>11661651</v>
      </c>
      <c r="K355" s="38"/>
      <c r="L355" s="38"/>
      <c r="M355" s="38"/>
      <c r="N355" s="38">
        <f>O355</f>
        <v>11661651</v>
      </c>
      <c r="O355" s="78">
        <f>8536295+4000000-874644</f>
        <v>11661651</v>
      </c>
      <c r="P355" s="56">
        <f t="shared" si="47"/>
        <v>14893575</v>
      </c>
      <c r="Q355" s="54"/>
      <c r="R355" s="60"/>
      <c r="W355" s="54"/>
    </row>
    <row r="356" spans="1:23" ht="22.5" customHeight="1">
      <c r="A356" s="40"/>
      <c r="B356" s="40" t="s">
        <v>77</v>
      </c>
      <c r="C356" s="76" t="s">
        <v>41</v>
      </c>
      <c r="D356" s="36" t="s">
        <v>90</v>
      </c>
      <c r="E356" s="78">
        <f>F356+I356</f>
        <v>32800000</v>
      </c>
      <c r="F356" s="78">
        <f>30000000+2800000</f>
        <v>32800000</v>
      </c>
      <c r="G356" s="38"/>
      <c r="H356" s="38"/>
      <c r="I356" s="38"/>
      <c r="J356" s="38">
        <f t="shared" si="46"/>
        <v>0</v>
      </c>
      <c r="K356" s="38"/>
      <c r="L356" s="38"/>
      <c r="M356" s="38"/>
      <c r="N356" s="38">
        <f>O356</f>
        <v>0</v>
      </c>
      <c r="O356" s="78"/>
      <c r="P356" s="56">
        <f t="shared" si="47"/>
        <v>32800000</v>
      </c>
      <c r="Q356" s="54"/>
      <c r="R356" s="60"/>
      <c r="W356" s="54"/>
    </row>
    <row r="357" spans="1:23" ht="25.5">
      <c r="A357" s="40"/>
      <c r="B357" s="40" t="s">
        <v>377</v>
      </c>
      <c r="C357" s="40"/>
      <c r="D357" s="59" t="s">
        <v>378</v>
      </c>
      <c r="E357" s="38">
        <f>E358+E365</f>
        <v>0</v>
      </c>
      <c r="F357" s="38">
        <f>F358+F365</f>
        <v>0</v>
      </c>
      <c r="G357" s="38">
        <f>G358</f>
        <v>0</v>
      </c>
      <c r="H357" s="38">
        <f>H358</f>
        <v>0</v>
      </c>
      <c r="I357" s="38"/>
      <c r="J357" s="38">
        <f t="shared" si="46"/>
        <v>37542480</v>
      </c>
      <c r="K357" s="38">
        <f>K358</f>
        <v>0</v>
      </c>
      <c r="L357" s="38">
        <f>L358</f>
        <v>0</v>
      </c>
      <c r="M357" s="38">
        <f>M358</f>
        <v>0</v>
      </c>
      <c r="N357" s="38">
        <f>N358</f>
        <v>37542480</v>
      </c>
      <c r="O357" s="38">
        <f>O358</f>
        <v>37542480</v>
      </c>
      <c r="P357" s="56">
        <f t="shared" si="47"/>
        <v>37542480</v>
      </c>
      <c r="Q357" s="54"/>
      <c r="R357" s="60"/>
      <c r="W357" s="54"/>
    </row>
    <row r="358" spans="1:23" ht="51">
      <c r="A358" s="40"/>
      <c r="B358" s="40" t="s">
        <v>355</v>
      </c>
      <c r="C358" s="76" t="s">
        <v>6</v>
      </c>
      <c r="D358" s="70" t="s">
        <v>206</v>
      </c>
      <c r="E358" s="38">
        <f>F358+I358</f>
        <v>0</v>
      </c>
      <c r="F358" s="38"/>
      <c r="G358" s="38"/>
      <c r="H358" s="38"/>
      <c r="I358" s="38"/>
      <c r="J358" s="38">
        <f t="shared" si="46"/>
        <v>37542480</v>
      </c>
      <c r="K358" s="38"/>
      <c r="L358" s="38"/>
      <c r="M358" s="38"/>
      <c r="N358" s="78">
        <f>O358</f>
        <v>37542480</v>
      </c>
      <c r="O358" s="78">
        <f>25824480+5218000+6500000</f>
        <v>37542480</v>
      </c>
      <c r="P358" s="56">
        <f t="shared" si="47"/>
        <v>37542480</v>
      </c>
      <c r="Q358" s="54"/>
      <c r="R358" s="60"/>
      <c r="W358" s="54"/>
    </row>
    <row r="359" spans="1:23" ht="25.5" customHeight="1" hidden="1">
      <c r="A359" s="40"/>
      <c r="B359" s="40" t="s">
        <v>372</v>
      </c>
      <c r="C359" s="40"/>
      <c r="D359" s="61" t="s">
        <v>373</v>
      </c>
      <c r="E359" s="38">
        <f>E360</f>
        <v>0</v>
      </c>
      <c r="F359" s="38"/>
      <c r="G359" s="38">
        <f aca="true" t="shared" si="49" ref="G359:O359">G360</f>
        <v>0</v>
      </c>
      <c r="H359" s="38">
        <f t="shared" si="49"/>
        <v>0</v>
      </c>
      <c r="I359" s="38"/>
      <c r="J359" s="38">
        <f t="shared" si="46"/>
        <v>0</v>
      </c>
      <c r="K359" s="38">
        <f t="shared" si="49"/>
        <v>0</v>
      </c>
      <c r="L359" s="38">
        <f t="shared" si="49"/>
        <v>0</v>
      </c>
      <c r="M359" s="38">
        <f t="shared" si="49"/>
        <v>0</v>
      </c>
      <c r="N359" s="38">
        <f t="shared" si="49"/>
        <v>0</v>
      </c>
      <c r="O359" s="38">
        <f t="shared" si="49"/>
        <v>0</v>
      </c>
      <c r="P359" s="38">
        <f>P360</f>
        <v>0</v>
      </c>
      <c r="Q359" s="54"/>
      <c r="R359" s="60"/>
      <c r="W359" s="54"/>
    </row>
    <row r="360" spans="1:23" ht="15" customHeight="1" hidden="1">
      <c r="A360" s="76"/>
      <c r="B360" s="76" t="s">
        <v>287</v>
      </c>
      <c r="C360" s="76"/>
      <c r="D360" s="70" t="s">
        <v>316</v>
      </c>
      <c r="E360" s="38">
        <f>SUM(E361:E364)</f>
        <v>0</v>
      </c>
      <c r="F360" s="38"/>
      <c r="G360" s="38">
        <f>SUM(G361:G364)</f>
        <v>0</v>
      </c>
      <c r="H360" s="38">
        <f>SUM(H361:H364)</f>
        <v>0</v>
      </c>
      <c r="I360" s="38"/>
      <c r="J360" s="38">
        <f t="shared" si="46"/>
        <v>0</v>
      </c>
      <c r="K360" s="38">
        <f>SUM(K361:K364)</f>
        <v>0</v>
      </c>
      <c r="L360" s="38">
        <f>SUM(L361:L364)</f>
        <v>0</v>
      </c>
      <c r="M360" s="38">
        <f>SUM(M361:M364)</f>
        <v>0</v>
      </c>
      <c r="N360" s="38">
        <f>SUM(N361:N364)</f>
        <v>0</v>
      </c>
      <c r="O360" s="38">
        <f>SUM(O361:O364)</f>
        <v>0</v>
      </c>
      <c r="P360" s="38">
        <f>P362+P361+P364+P363</f>
        <v>0</v>
      </c>
      <c r="Q360" s="54"/>
      <c r="R360" s="60"/>
      <c r="W360" s="54"/>
    </row>
    <row r="361" spans="1:23" ht="64.5" customHeight="1" hidden="1">
      <c r="A361" s="76"/>
      <c r="B361" s="76"/>
      <c r="C361" s="76"/>
      <c r="D361" s="75" t="s">
        <v>214</v>
      </c>
      <c r="E361" s="38">
        <f>2425000-2425000</f>
        <v>0</v>
      </c>
      <c r="F361" s="38"/>
      <c r="G361" s="38"/>
      <c r="H361" s="38"/>
      <c r="I361" s="38"/>
      <c r="J361" s="38">
        <f t="shared" si="46"/>
        <v>0</v>
      </c>
      <c r="K361" s="38"/>
      <c r="L361" s="38"/>
      <c r="M361" s="38"/>
      <c r="N361" s="38"/>
      <c r="O361" s="38"/>
      <c r="P361" s="56">
        <f t="shared" si="47"/>
        <v>0</v>
      </c>
      <c r="Q361" s="54"/>
      <c r="R361" s="60"/>
      <c r="W361" s="54"/>
    </row>
    <row r="362" spans="1:23" ht="24" customHeight="1" hidden="1">
      <c r="A362" s="76"/>
      <c r="B362" s="76"/>
      <c r="C362" s="76"/>
      <c r="D362" s="70" t="s">
        <v>227</v>
      </c>
      <c r="E362" s="38"/>
      <c r="F362" s="38"/>
      <c r="G362" s="38"/>
      <c r="H362" s="38"/>
      <c r="I362" s="38"/>
      <c r="J362" s="38">
        <f t="shared" si="46"/>
        <v>0</v>
      </c>
      <c r="K362" s="38"/>
      <c r="L362" s="38"/>
      <c r="M362" s="38"/>
      <c r="N362" s="38"/>
      <c r="O362" s="38"/>
      <c r="P362" s="56">
        <f t="shared" si="47"/>
        <v>0</v>
      </c>
      <c r="Q362" s="54"/>
      <c r="R362" s="60"/>
      <c r="W362" s="54"/>
    </row>
    <row r="363" spans="1:23" ht="24" customHeight="1" hidden="1">
      <c r="A363" s="76"/>
      <c r="B363" s="76"/>
      <c r="C363" s="76"/>
      <c r="D363" s="70" t="s">
        <v>208</v>
      </c>
      <c r="E363" s="38"/>
      <c r="F363" s="38"/>
      <c r="G363" s="38"/>
      <c r="H363" s="38"/>
      <c r="I363" s="38"/>
      <c r="J363" s="38">
        <f t="shared" si="46"/>
        <v>0</v>
      </c>
      <c r="K363" s="38"/>
      <c r="L363" s="38"/>
      <c r="M363" s="38"/>
      <c r="N363" s="38">
        <f>O363</f>
        <v>0</v>
      </c>
      <c r="O363" s="38"/>
      <c r="P363" s="56">
        <f t="shared" si="47"/>
        <v>0</v>
      </c>
      <c r="Q363" s="54"/>
      <c r="R363" s="60"/>
      <c r="W363" s="54"/>
    </row>
    <row r="364" spans="1:23" ht="24" customHeight="1" hidden="1">
      <c r="A364" s="76"/>
      <c r="B364" s="76"/>
      <c r="C364" s="76"/>
      <c r="D364" s="70" t="s">
        <v>235</v>
      </c>
      <c r="E364" s="38"/>
      <c r="F364" s="38"/>
      <c r="G364" s="38"/>
      <c r="H364" s="38"/>
      <c r="I364" s="38"/>
      <c r="J364" s="38">
        <f t="shared" si="46"/>
        <v>0</v>
      </c>
      <c r="K364" s="38"/>
      <c r="L364" s="38"/>
      <c r="M364" s="38"/>
      <c r="N364" s="38"/>
      <c r="O364" s="38"/>
      <c r="P364" s="56">
        <f t="shared" si="47"/>
        <v>0</v>
      </c>
      <c r="Q364" s="54"/>
      <c r="R364" s="60"/>
      <c r="W364" s="54"/>
    </row>
    <row r="365" spans="1:23" ht="25.5" hidden="1">
      <c r="A365" s="76"/>
      <c r="B365" s="76" t="s">
        <v>302</v>
      </c>
      <c r="C365" s="76" t="s">
        <v>15</v>
      </c>
      <c r="D365" s="143" t="s">
        <v>303</v>
      </c>
      <c r="E365" s="38">
        <f>F365</f>
        <v>0</v>
      </c>
      <c r="F365" s="38">
        <f>2754000-2754000</f>
        <v>0</v>
      </c>
      <c r="G365" s="38"/>
      <c r="H365" s="38"/>
      <c r="I365" s="38"/>
      <c r="J365" s="38"/>
      <c r="K365" s="38"/>
      <c r="L365" s="38"/>
      <c r="M365" s="38"/>
      <c r="N365" s="38"/>
      <c r="O365" s="78"/>
      <c r="P365" s="56">
        <f>E365+J365</f>
        <v>0</v>
      </c>
      <c r="Q365" s="54"/>
      <c r="R365" s="60"/>
      <c r="W365" s="54"/>
    </row>
    <row r="366" spans="1:23" ht="51">
      <c r="A366" s="100"/>
      <c r="B366" s="100" t="s">
        <v>166</v>
      </c>
      <c r="C366" s="100"/>
      <c r="D366" s="99" t="s">
        <v>124</v>
      </c>
      <c r="E366" s="52">
        <f>E367+E369</f>
        <v>10203629</v>
      </c>
      <c r="F366" s="52">
        <f>F367+F369</f>
        <v>10203629</v>
      </c>
      <c r="G366" s="52">
        <f>G367+G369</f>
        <v>5672242</v>
      </c>
      <c r="H366" s="52">
        <f>H367+H369</f>
        <v>192868</v>
      </c>
      <c r="I366" s="52"/>
      <c r="J366" s="52">
        <f>J368+J369+J213</f>
        <v>1720687</v>
      </c>
      <c r="K366" s="52">
        <f>K367+K369</f>
        <v>140922</v>
      </c>
      <c r="L366" s="52">
        <f>L367+L369</f>
        <v>53907</v>
      </c>
      <c r="M366" s="52">
        <f>M367+M369</f>
        <v>39</v>
      </c>
      <c r="N366" s="52">
        <f>N367+N369</f>
        <v>1579765</v>
      </c>
      <c r="O366" s="52">
        <f>O367+O369</f>
        <v>1531097</v>
      </c>
      <c r="P366" s="53">
        <f t="shared" si="47"/>
        <v>11924316</v>
      </c>
      <c r="Q366" s="54"/>
      <c r="R366" s="60"/>
      <c r="W366" s="54"/>
    </row>
    <row r="367" spans="1:23" ht="12.75">
      <c r="A367" s="43"/>
      <c r="B367" s="43" t="s">
        <v>363</v>
      </c>
      <c r="C367" s="43"/>
      <c r="D367" s="44" t="s">
        <v>364</v>
      </c>
      <c r="E367" s="37">
        <f>E368</f>
        <v>2173077</v>
      </c>
      <c r="F367" s="37">
        <f>F368</f>
        <v>2173077</v>
      </c>
      <c r="G367" s="37">
        <f>G368</f>
        <v>1489336</v>
      </c>
      <c r="H367" s="37">
        <f>H368</f>
        <v>87784</v>
      </c>
      <c r="I367" s="37"/>
      <c r="J367" s="38">
        <f aca="true" t="shared" si="50" ref="J367:J391">K367+N367</f>
        <v>0</v>
      </c>
      <c r="K367" s="37"/>
      <c r="L367" s="37"/>
      <c r="M367" s="37"/>
      <c r="N367" s="37">
        <f>N368</f>
        <v>0</v>
      </c>
      <c r="O367" s="37">
        <f>O368</f>
        <v>0</v>
      </c>
      <c r="P367" s="56">
        <f t="shared" si="47"/>
        <v>2173077</v>
      </c>
      <c r="Q367" s="54"/>
      <c r="R367" s="60"/>
      <c r="W367" s="54"/>
    </row>
    <row r="368" spans="1:23" ht="12.75">
      <c r="A368" s="40"/>
      <c r="B368" s="40" t="s">
        <v>248</v>
      </c>
      <c r="C368" s="76" t="s">
        <v>4</v>
      </c>
      <c r="D368" s="59" t="s">
        <v>249</v>
      </c>
      <c r="E368" s="38">
        <f>F368+I368</f>
        <v>2173077</v>
      </c>
      <c r="F368" s="38">
        <f>2136016+37061</f>
        <v>2173077</v>
      </c>
      <c r="G368" s="38">
        <f>1461695+27641</f>
        <v>1489336</v>
      </c>
      <c r="H368" s="38">
        <v>87784</v>
      </c>
      <c r="I368" s="38"/>
      <c r="J368" s="38">
        <f t="shared" si="50"/>
        <v>0</v>
      </c>
      <c r="K368" s="38"/>
      <c r="L368" s="38"/>
      <c r="M368" s="38"/>
      <c r="N368" s="38">
        <f>O368</f>
        <v>0</v>
      </c>
      <c r="O368" s="38"/>
      <c r="P368" s="56">
        <f t="shared" si="47"/>
        <v>2173077</v>
      </c>
      <c r="Q368" s="54"/>
      <c r="R368" s="60"/>
      <c r="W368" s="54"/>
    </row>
    <row r="369" spans="1:23" ht="36.75" customHeight="1">
      <c r="A369" s="40"/>
      <c r="B369" s="40">
        <v>210000</v>
      </c>
      <c r="C369" s="40"/>
      <c r="D369" s="61" t="s">
        <v>351</v>
      </c>
      <c r="E369" s="38">
        <f>E370+E373</f>
        <v>8030552</v>
      </c>
      <c r="F369" s="38">
        <f>F370+F373</f>
        <v>8030552</v>
      </c>
      <c r="G369" s="38">
        <f>G370+G373</f>
        <v>4182906</v>
      </c>
      <c r="H369" s="38">
        <f>H370+H373</f>
        <v>105084</v>
      </c>
      <c r="I369" s="38"/>
      <c r="J369" s="38">
        <f t="shared" si="50"/>
        <v>1720687</v>
      </c>
      <c r="K369" s="38">
        <f>K370+K373</f>
        <v>140922</v>
      </c>
      <c r="L369" s="38">
        <f>L370+L373</f>
        <v>53907</v>
      </c>
      <c r="M369" s="38">
        <f>M370+M373</f>
        <v>39</v>
      </c>
      <c r="N369" s="38">
        <f>N370+N373</f>
        <v>1579765</v>
      </c>
      <c r="O369" s="38">
        <f>O370+O373</f>
        <v>1531097</v>
      </c>
      <c r="P369" s="56">
        <f t="shared" si="47"/>
        <v>9751239</v>
      </c>
      <c r="Q369" s="54"/>
      <c r="R369" s="60"/>
      <c r="W369" s="54"/>
    </row>
    <row r="370" spans="1:23" s="55" customFormat="1" ht="38.25">
      <c r="A370" s="40"/>
      <c r="B370" s="40" t="s">
        <v>284</v>
      </c>
      <c r="C370" s="76" t="s">
        <v>42</v>
      </c>
      <c r="D370" s="75" t="s">
        <v>240</v>
      </c>
      <c r="E370" s="38">
        <f>E371+E372</f>
        <v>4527228</v>
      </c>
      <c r="F370" s="38">
        <f>F371+F372</f>
        <v>4527228</v>
      </c>
      <c r="G370" s="38">
        <f>G371+G372</f>
        <v>2033615</v>
      </c>
      <c r="H370" s="38">
        <f>H371+H372</f>
        <v>16355</v>
      </c>
      <c r="I370" s="38"/>
      <c r="J370" s="38">
        <f t="shared" si="50"/>
        <v>1339177</v>
      </c>
      <c r="K370" s="38">
        <f>K371+K372</f>
        <v>82800</v>
      </c>
      <c r="L370" s="38">
        <f>L371+L372</f>
        <v>32940</v>
      </c>
      <c r="M370" s="38">
        <f>M371+M372</f>
        <v>0</v>
      </c>
      <c r="N370" s="38">
        <f>N371+N372</f>
        <v>1256377</v>
      </c>
      <c r="O370" s="38">
        <f>O371+O372</f>
        <v>1256377</v>
      </c>
      <c r="P370" s="56">
        <f t="shared" si="47"/>
        <v>5866405</v>
      </c>
      <c r="Q370" s="54"/>
      <c r="R370" s="54"/>
      <c r="W370" s="54"/>
    </row>
    <row r="371" spans="1:23" s="58" customFormat="1" ht="75.75" customHeight="1" hidden="1">
      <c r="A371" s="40"/>
      <c r="B371" s="40"/>
      <c r="C371" s="40"/>
      <c r="D371" s="75" t="s">
        <v>201</v>
      </c>
      <c r="E371" s="38">
        <f>F371+I371</f>
        <v>1413187</v>
      </c>
      <c r="F371" s="38">
        <f>1500000-86813</f>
        <v>1413187</v>
      </c>
      <c r="G371" s="38"/>
      <c r="H371" s="38"/>
      <c r="I371" s="38"/>
      <c r="J371" s="38">
        <f t="shared" si="50"/>
        <v>1241108</v>
      </c>
      <c r="K371" s="38"/>
      <c r="L371" s="38"/>
      <c r="M371" s="38"/>
      <c r="N371" s="78">
        <f>O371</f>
        <v>1241108</v>
      </c>
      <c r="O371" s="78">
        <f>1731243-454435-35700</f>
        <v>1241108</v>
      </c>
      <c r="P371" s="56">
        <f t="shared" si="47"/>
        <v>2654295</v>
      </c>
      <c r="Q371" s="144" t="s">
        <v>117</v>
      </c>
      <c r="R371" s="57"/>
      <c r="W371" s="54"/>
    </row>
    <row r="372" spans="1:23" ht="75" customHeight="1" hidden="1">
      <c r="A372" s="40"/>
      <c r="B372" s="40"/>
      <c r="C372" s="40"/>
      <c r="D372" s="75" t="s">
        <v>57</v>
      </c>
      <c r="E372" s="38">
        <f>F372+I372</f>
        <v>3114041</v>
      </c>
      <c r="F372" s="38">
        <f>2909547+202620+1874</f>
        <v>3114041</v>
      </c>
      <c r="G372" s="38">
        <v>2033615</v>
      </c>
      <c r="H372" s="38">
        <f>14481+1874</f>
        <v>16355</v>
      </c>
      <c r="I372" s="38"/>
      <c r="J372" s="38">
        <f t="shared" si="50"/>
        <v>98069</v>
      </c>
      <c r="K372" s="38">
        <v>82800</v>
      </c>
      <c r="L372" s="38">
        <v>32940</v>
      </c>
      <c r="M372" s="38"/>
      <c r="N372" s="38">
        <f>O372</f>
        <v>15269</v>
      </c>
      <c r="O372" s="38">
        <v>15269</v>
      </c>
      <c r="P372" s="56">
        <f t="shared" si="47"/>
        <v>3212110</v>
      </c>
      <c r="Q372" s="54"/>
      <c r="R372" s="60"/>
      <c r="W372" s="54"/>
    </row>
    <row r="373" spans="1:23" ht="25.5">
      <c r="A373" s="40"/>
      <c r="B373" s="40">
        <v>210110</v>
      </c>
      <c r="C373" s="76" t="s">
        <v>42</v>
      </c>
      <c r="D373" s="61" t="s">
        <v>285</v>
      </c>
      <c r="E373" s="38">
        <f>F373+I373</f>
        <v>3503324</v>
      </c>
      <c r="F373" s="38">
        <f>3125647+32396+326942+18339</f>
        <v>3503324</v>
      </c>
      <c r="G373" s="38">
        <f>2116895+32396</f>
        <v>2149291</v>
      </c>
      <c r="H373" s="38">
        <f>70390+18339</f>
        <v>88729</v>
      </c>
      <c r="I373" s="38"/>
      <c r="J373" s="38">
        <f>K373+N373</f>
        <v>381510</v>
      </c>
      <c r="K373" s="38">
        <v>58122</v>
      </c>
      <c r="L373" s="38">
        <v>20967</v>
      </c>
      <c r="M373" s="38">
        <v>39</v>
      </c>
      <c r="N373" s="38">
        <f>48668+O373</f>
        <v>323388</v>
      </c>
      <c r="O373" s="38">
        <v>274720</v>
      </c>
      <c r="P373" s="56">
        <f t="shared" si="47"/>
        <v>3884834</v>
      </c>
      <c r="Q373" s="54"/>
      <c r="R373" s="60"/>
      <c r="W373" s="54"/>
    </row>
    <row r="374" spans="1:23" ht="25.5">
      <c r="A374" s="100"/>
      <c r="B374" s="100" t="s">
        <v>177</v>
      </c>
      <c r="C374" s="100"/>
      <c r="D374" s="111" t="s">
        <v>145</v>
      </c>
      <c r="E374" s="52">
        <f>E375+E377+E380+E390</f>
        <v>3025017</v>
      </c>
      <c r="F374" s="52">
        <f>F375+F377+F380+F390</f>
        <v>3025017</v>
      </c>
      <c r="G374" s="52">
        <f>G375+G377+G380+G390</f>
        <v>1938569</v>
      </c>
      <c r="H374" s="52">
        <f>H375+H377+H380+H390</f>
        <v>111614</v>
      </c>
      <c r="I374" s="52"/>
      <c r="J374" s="52">
        <f t="shared" si="50"/>
        <v>16474982</v>
      </c>
      <c r="K374" s="52">
        <f>K375+K377+K380+K390</f>
        <v>0</v>
      </c>
      <c r="L374" s="52">
        <f>L375+L377+L380+L390</f>
        <v>0</v>
      </c>
      <c r="M374" s="52">
        <f>M375+M377+M380+M390</f>
        <v>0</v>
      </c>
      <c r="N374" s="52">
        <f>N375+N377+N380+N390+N387</f>
        <v>16474982</v>
      </c>
      <c r="O374" s="52">
        <f>O375+O377+O380+O390+O387</f>
        <v>16474982</v>
      </c>
      <c r="P374" s="53">
        <f t="shared" si="47"/>
        <v>19499999</v>
      </c>
      <c r="Q374" s="54"/>
      <c r="R374" s="60"/>
      <c r="W374" s="54"/>
    </row>
    <row r="375" spans="1:23" ht="12.75">
      <c r="A375" s="43"/>
      <c r="B375" s="43" t="s">
        <v>363</v>
      </c>
      <c r="C375" s="43"/>
      <c r="D375" s="44" t="s">
        <v>364</v>
      </c>
      <c r="E375" s="37">
        <f>E376</f>
        <v>3018927</v>
      </c>
      <c r="F375" s="37">
        <f>F376</f>
        <v>3018927</v>
      </c>
      <c r="G375" s="37">
        <f>G376</f>
        <v>1938569</v>
      </c>
      <c r="H375" s="37">
        <f>H376</f>
        <v>111614</v>
      </c>
      <c r="I375" s="37"/>
      <c r="J375" s="38">
        <f t="shared" si="50"/>
        <v>158701</v>
      </c>
      <c r="K375" s="37">
        <f>K376</f>
        <v>0</v>
      </c>
      <c r="L375" s="37">
        <f>L376</f>
        <v>0</v>
      </c>
      <c r="M375" s="37">
        <f>M376</f>
        <v>0</v>
      </c>
      <c r="N375" s="37">
        <f>N376</f>
        <v>158701</v>
      </c>
      <c r="O375" s="37">
        <f>O376</f>
        <v>158701</v>
      </c>
      <c r="P375" s="56">
        <f t="shared" si="47"/>
        <v>3177628</v>
      </c>
      <c r="Q375" s="54"/>
      <c r="R375" s="60"/>
      <c r="W375" s="54"/>
    </row>
    <row r="376" spans="1:23" ht="12.75">
      <c r="A376" s="40"/>
      <c r="B376" s="40" t="s">
        <v>248</v>
      </c>
      <c r="C376" s="76" t="s">
        <v>4</v>
      </c>
      <c r="D376" s="59" t="s">
        <v>249</v>
      </c>
      <c r="E376" s="38">
        <f>F376+I376</f>
        <v>3018927</v>
      </c>
      <c r="F376" s="38">
        <f>3002833+8738+7356</f>
        <v>3018927</v>
      </c>
      <c r="G376" s="38">
        <f>1932158+6411</f>
        <v>1938569</v>
      </c>
      <c r="H376" s="37">
        <v>111614</v>
      </c>
      <c r="I376" s="37"/>
      <c r="J376" s="38">
        <f t="shared" si="50"/>
        <v>158701</v>
      </c>
      <c r="K376" s="38"/>
      <c r="L376" s="38"/>
      <c r="M376" s="38"/>
      <c r="N376" s="38">
        <f>O376</f>
        <v>158701</v>
      </c>
      <c r="O376" s="38">
        <v>158701</v>
      </c>
      <c r="P376" s="56">
        <f t="shared" si="47"/>
        <v>3177628</v>
      </c>
      <c r="Q376" s="54"/>
      <c r="R376" s="60"/>
      <c r="W376" s="54"/>
    </row>
    <row r="377" spans="1:23" ht="12.75" hidden="1">
      <c r="A377" s="76"/>
      <c r="B377" s="76" t="s">
        <v>375</v>
      </c>
      <c r="C377" s="76"/>
      <c r="D377" s="36" t="s">
        <v>376</v>
      </c>
      <c r="E377" s="38">
        <f>E378</f>
        <v>0</v>
      </c>
      <c r="F377" s="38"/>
      <c r="G377" s="38">
        <f>G378</f>
        <v>0</v>
      </c>
      <c r="H377" s="38">
        <f>H378</f>
        <v>0</v>
      </c>
      <c r="I377" s="38"/>
      <c r="J377" s="38">
        <f t="shared" si="50"/>
        <v>0</v>
      </c>
      <c r="K377" s="38">
        <f>K378</f>
        <v>0</v>
      </c>
      <c r="L377" s="38">
        <f>L378</f>
        <v>0</v>
      </c>
      <c r="M377" s="38">
        <f>M378</f>
        <v>0</v>
      </c>
      <c r="N377" s="38">
        <f>N378</f>
        <v>0</v>
      </c>
      <c r="O377" s="38">
        <f>O378</f>
        <v>0</v>
      </c>
      <c r="P377" s="56">
        <f t="shared" si="47"/>
        <v>0</v>
      </c>
      <c r="Q377" s="54"/>
      <c r="R377" s="60"/>
      <c r="W377" s="54"/>
    </row>
    <row r="378" spans="1:23" ht="178.5" hidden="1">
      <c r="A378" s="76"/>
      <c r="B378" s="76" t="s">
        <v>151</v>
      </c>
      <c r="C378" s="76"/>
      <c r="D378" s="77" t="s">
        <v>186</v>
      </c>
      <c r="E378" s="38"/>
      <c r="F378" s="38"/>
      <c r="G378" s="38"/>
      <c r="H378" s="38"/>
      <c r="I378" s="38"/>
      <c r="J378" s="38">
        <f t="shared" si="50"/>
        <v>0</v>
      </c>
      <c r="K378" s="38"/>
      <c r="L378" s="38"/>
      <c r="M378" s="38"/>
      <c r="N378" s="38"/>
      <c r="O378" s="38"/>
      <c r="P378" s="56">
        <f t="shared" si="47"/>
        <v>0</v>
      </c>
      <c r="Q378" s="54"/>
      <c r="R378" s="60"/>
      <c r="W378" s="54"/>
    </row>
    <row r="379" spans="1:23" ht="236.25" customHeight="1" hidden="1">
      <c r="A379" s="40"/>
      <c r="B379" s="40"/>
      <c r="C379" s="40"/>
      <c r="D379" s="77" t="s">
        <v>187</v>
      </c>
      <c r="E379" s="38">
        <f>E378</f>
        <v>0</v>
      </c>
      <c r="F379" s="38"/>
      <c r="G379" s="38">
        <f>G378</f>
        <v>0</v>
      </c>
      <c r="H379" s="38">
        <f>H378</f>
        <v>0</v>
      </c>
      <c r="I379" s="38"/>
      <c r="J379" s="38">
        <f t="shared" si="50"/>
        <v>0</v>
      </c>
      <c r="K379" s="38">
        <f>K378</f>
        <v>0</v>
      </c>
      <c r="L379" s="38">
        <f>L378</f>
        <v>0</v>
      </c>
      <c r="M379" s="38">
        <f>M378</f>
        <v>0</v>
      </c>
      <c r="N379" s="38">
        <f>N378</f>
        <v>0</v>
      </c>
      <c r="O379" s="38">
        <f>O378</f>
        <v>0</v>
      </c>
      <c r="P379" s="56">
        <f t="shared" si="47"/>
        <v>0</v>
      </c>
      <c r="Q379" s="54"/>
      <c r="R379" s="60"/>
      <c r="W379" s="54"/>
    </row>
    <row r="380" spans="1:23" ht="12.75">
      <c r="A380" s="40"/>
      <c r="B380" s="40" t="s">
        <v>367</v>
      </c>
      <c r="C380" s="40"/>
      <c r="D380" s="59" t="s">
        <v>282</v>
      </c>
      <c r="E380" s="38">
        <f>E381+E386</f>
        <v>0</v>
      </c>
      <c r="F380" s="38"/>
      <c r="G380" s="38">
        <f>G381+G386</f>
        <v>0</v>
      </c>
      <c r="H380" s="38">
        <f>H381+H386</f>
        <v>0</v>
      </c>
      <c r="I380" s="38"/>
      <c r="J380" s="38">
        <f t="shared" si="50"/>
        <v>16316281</v>
      </c>
      <c r="K380" s="38">
        <f>K381+K386</f>
        <v>0</v>
      </c>
      <c r="L380" s="38">
        <f>L381+L386</f>
        <v>0</v>
      </c>
      <c r="M380" s="38">
        <f>M381+M386</f>
        <v>0</v>
      </c>
      <c r="N380" s="38">
        <f>N381+N386</f>
        <v>16316281</v>
      </c>
      <c r="O380" s="38">
        <f>O381+O386</f>
        <v>16316281</v>
      </c>
      <c r="P380" s="56">
        <f t="shared" si="47"/>
        <v>16316281</v>
      </c>
      <c r="Q380" s="54"/>
      <c r="R380" s="60"/>
      <c r="W380" s="54"/>
    </row>
    <row r="381" spans="1:23" ht="13.5" customHeight="1">
      <c r="A381" s="40"/>
      <c r="B381" s="40" t="s">
        <v>338</v>
      </c>
      <c r="C381" s="76" t="s">
        <v>6</v>
      </c>
      <c r="D381" s="36" t="s">
        <v>339</v>
      </c>
      <c r="E381" s="38"/>
      <c r="F381" s="38"/>
      <c r="G381" s="38"/>
      <c r="H381" s="38"/>
      <c r="I381" s="38"/>
      <c r="J381" s="38">
        <f t="shared" si="50"/>
        <v>7178541</v>
      </c>
      <c r="K381" s="38"/>
      <c r="L381" s="38"/>
      <c r="M381" s="38"/>
      <c r="N381" s="38">
        <f>O381</f>
        <v>7178541</v>
      </c>
      <c r="O381" s="38">
        <v>7178541</v>
      </c>
      <c r="P381" s="56">
        <f t="shared" si="47"/>
        <v>7178541</v>
      </c>
      <c r="Q381" s="54"/>
      <c r="R381" s="60"/>
      <c r="W381" s="54"/>
    </row>
    <row r="382" spans="1:23" ht="45" customHeight="1" hidden="1">
      <c r="A382" s="40"/>
      <c r="B382" s="40"/>
      <c r="C382" s="40"/>
      <c r="D382" s="95" t="s">
        <v>113</v>
      </c>
      <c r="E382" s="38"/>
      <c r="F382" s="38"/>
      <c r="G382" s="38"/>
      <c r="H382" s="38"/>
      <c r="I382" s="38"/>
      <c r="J382" s="38">
        <f t="shared" si="50"/>
        <v>0</v>
      </c>
      <c r="K382" s="38"/>
      <c r="L382" s="38"/>
      <c r="M382" s="38"/>
      <c r="N382" s="38"/>
      <c r="O382" s="78">
        <f>N382</f>
        <v>0</v>
      </c>
      <c r="P382" s="56">
        <f t="shared" si="47"/>
        <v>0</v>
      </c>
      <c r="Q382" s="54"/>
      <c r="R382" s="60"/>
      <c r="W382" s="54"/>
    </row>
    <row r="383" spans="1:23" ht="204" hidden="1">
      <c r="A383" s="40"/>
      <c r="B383" s="40" t="s">
        <v>73</v>
      </c>
      <c r="C383" s="40"/>
      <c r="D383" s="70" t="s">
        <v>58</v>
      </c>
      <c r="E383" s="38"/>
      <c r="F383" s="38"/>
      <c r="G383" s="38"/>
      <c r="H383" s="38"/>
      <c r="I383" s="38"/>
      <c r="J383" s="38">
        <f t="shared" si="50"/>
        <v>0</v>
      </c>
      <c r="K383" s="38"/>
      <c r="L383" s="38"/>
      <c r="M383" s="38"/>
      <c r="N383" s="38"/>
      <c r="O383" s="78"/>
      <c r="P383" s="56">
        <f t="shared" si="47"/>
        <v>0</v>
      </c>
      <c r="Q383" s="54"/>
      <c r="R383" s="60"/>
      <c r="W383" s="54"/>
    </row>
    <row r="384" spans="1:23" ht="25.5" hidden="1">
      <c r="A384" s="40"/>
      <c r="B384" s="40"/>
      <c r="C384" s="40"/>
      <c r="D384" s="36" t="s">
        <v>382</v>
      </c>
      <c r="E384" s="38"/>
      <c r="F384" s="38"/>
      <c r="G384" s="38"/>
      <c r="H384" s="38"/>
      <c r="I384" s="38"/>
      <c r="J384" s="38">
        <f t="shared" si="50"/>
        <v>0</v>
      </c>
      <c r="K384" s="38"/>
      <c r="L384" s="38"/>
      <c r="M384" s="38"/>
      <c r="N384" s="38"/>
      <c r="O384" s="78">
        <f>N384</f>
        <v>0</v>
      </c>
      <c r="P384" s="56">
        <f t="shared" si="47"/>
        <v>0</v>
      </c>
      <c r="Q384" s="54"/>
      <c r="R384" s="60"/>
      <c r="W384" s="54"/>
    </row>
    <row r="385" spans="1:23" ht="51" hidden="1">
      <c r="A385" s="40"/>
      <c r="B385" s="40"/>
      <c r="C385" s="40"/>
      <c r="D385" s="77" t="s">
        <v>150</v>
      </c>
      <c r="E385" s="38"/>
      <c r="F385" s="38"/>
      <c r="G385" s="38"/>
      <c r="H385" s="38"/>
      <c r="I385" s="38"/>
      <c r="J385" s="38">
        <f t="shared" si="50"/>
        <v>0</v>
      </c>
      <c r="K385" s="38"/>
      <c r="L385" s="38"/>
      <c r="M385" s="38"/>
      <c r="N385" s="38"/>
      <c r="O385" s="78">
        <f>N385</f>
        <v>0</v>
      </c>
      <c r="P385" s="56">
        <f t="shared" si="47"/>
        <v>0</v>
      </c>
      <c r="Q385" s="54"/>
      <c r="R385" s="60"/>
      <c r="W385" s="54"/>
    </row>
    <row r="386" spans="1:23" ht="63.75">
      <c r="A386" s="40"/>
      <c r="B386" s="40" t="s">
        <v>353</v>
      </c>
      <c r="C386" s="76" t="s">
        <v>37</v>
      </c>
      <c r="D386" s="59" t="s">
        <v>354</v>
      </c>
      <c r="E386" s="38"/>
      <c r="F386" s="38"/>
      <c r="G386" s="38"/>
      <c r="H386" s="38"/>
      <c r="I386" s="38"/>
      <c r="J386" s="38">
        <f t="shared" si="50"/>
        <v>9137740</v>
      </c>
      <c r="K386" s="38"/>
      <c r="L386" s="38"/>
      <c r="M386" s="38"/>
      <c r="N386" s="38">
        <f>O386</f>
        <v>9137740</v>
      </c>
      <c r="O386" s="78">
        <v>9137740</v>
      </c>
      <c r="P386" s="56">
        <f t="shared" si="47"/>
        <v>9137740</v>
      </c>
      <c r="Q386" s="54"/>
      <c r="R386" s="60"/>
      <c r="W386" s="54"/>
    </row>
    <row r="387" spans="1:23" ht="38.25" hidden="1">
      <c r="A387" s="40"/>
      <c r="B387" s="40">
        <v>210000</v>
      </c>
      <c r="C387" s="40"/>
      <c r="D387" s="61" t="s">
        <v>351</v>
      </c>
      <c r="E387" s="38"/>
      <c r="F387" s="38"/>
      <c r="G387" s="38"/>
      <c r="H387" s="38"/>
      <c r="I387" s="38"/>
      <c r="J387" s="38">
        <f t="shared" si="50"/>
        <v>0</v>
      </c>
      <c r="K387" s="38"/>
      <c r="L387" s="38"/>
      <c r="M387" s="38"/>
      <c r="N387" s="38">
        <f>N388</f>
        <v>0</v>
      </c>
      <c r="O387" s="38">
        <f>O388</f>
        <v>0</v>
      </c>
      <c r="P387" s="56">
        <f t="shared" si="47"/>
        <v>0</v>
      </c>
      <c r="Q387" s="54"/>
      <c r="R387" s="60"/>
      <c r="W387" s="54"/>
    </row>
    <row r="388" spans="1:23" ht="38.25" hidden="1">
      <c r="A388" s="40"/>
      <c r="B388" s="40" t="s">
        <v>284</v>
      </c>
      <c r="C388" s="40"/>
      <c r="D388" s="75" t="s">
        <v>240</v>
      </c>
      <c r="E388" s="38"/>
      <c r="F388" s="38"/>
      <c r="G388" s="38"/>
      <c r="H388" s="38"/>
      <c r="I388" s="38"/>
      <c r="J388" s="38">
        <f t="shared" si="50"/>
        <v>0</v>
      </c>
      <c r="K388" s="38"/>
      <c r="L388" s="38"/>
      <c r="M388" s="38"/>
      <c r="N388" s="135">
        <f>20000000-13278839-34410+13313249-20000000</f>
        <v>0</v>
      </c>
      <c r="O388" s="38">
        <f>N388</f>
        <v>0</v>
      </c>
      <c r="P388" s="56">
        <f t="shared" si="47"/>
        <v>0</v>
      </c>
      <c r="Q388" s="54"/>
      <c r="R388" s="60"/>
      <c r="W388" s="54"/>
    </row>
    <row r="389" spans="1:23" ht="27.75" customHeight="1">
      <c r="A389" s="40"/>
      <c r="B389" s="40" t="s">
        <v>372</v>
      </c>
      <c r="C389" s="40"/>
      <c r="D389" s="61" t="s">
        <v>373</v>
      </c>
      <c r="E389" s="38">
        <f>E390</f>
        <v>6090</v>
      </c>
      <c r="F389" s="38">
        <f>F390</f>
        <v>6090</v>
      </c>
      <c r="G389" s="38"/>
      <c r="H389" s="38"/>
      <c r="I389" s="38"/>
      <c r="J389" s="38">
        <f t="shared" si="50"/>
        <v>0</v>
      </c>
      <c r="K389" s="38"/>
      <c r="L389" s="38"/>
      <c r="M389" s="38"/>
      <c r="N389" s="38"/>
      <c r="O389" s="38"/>
      <c r="P389" s="38">
        <f>P390</f>
        <v>6090</v>
      </c>
      <c r="Q389" s="54"/>
      <c r="R389" s="60"/>
      <c r="W389" s="54"/>
    </row>
    <row r="390" spans="1:23" ht="12.75">
      <c r="A390" s="76"/>
      <c r="B390" s="76" t="s">
        <v>287</v>
      </c>
      <c r="C390" s="76" t="s">
        <v>7</v>
      </c>
      <c r="D390" s="70" t="s">
        <v>316</v>
      </c>
      <c r="E390" s="78">
        <f>E391</f>
        <v>6090</v>
      </c>
      <c r="F390" s="78">
        <f>F391</f>
        <v>6090</v>
      </c>
      <c r="G390" s="38">
        <f>G391</f>
        <v>0</v>
      </c>
      <c r="H390" s="38">
        <f>H391</f>
        <v>0</v>
      </c>
      <c r="I390" s="38">
        <f>I391</f>
        <v>0</v>
      </c>
      <c r="J390" s="38">
        <f t="shared" si="50"/>
        <v>0</v>
      </c>
      <c r="K390" s="38">
        <f>K391</f>
        <v>0</v>
      </c>
      <c r="L390" s="38">
        <f>L391</f>
        <v>0</v>
      </c>
      <c r="M390" s="38">
        <f>M391</f>
        <v>0</v>
      </c>
      <c r="N390" s="38">
        <f>N391</f>
        <v>0</v>
      </c>
      <c r="O390" s="38">
        <f>O391</f>
        <v>0</v>
      </c>
      <c r="P390" s="38">
        <f>P391</f>
        <v>6090</v>
      </c>
      <c r="Q390" s="54"/>
      <c r="R390" s="60"/>
      <c r="W390" s="54"/>
    </row>
    <row r="391" spans="1:23" ht="89.25" hidden="1">
      <c r="A391" s="40"/>
      <c r="B391" s="40"/>
      <c r="C391" s="40"/>
      <c r="D391" s="77" t="s">
        <v>2</v>
      </c>
      <c r="E391" s="38">
        <f>F391+I391</f>
        <v>6090</v>
      </c>
      <c r="F391" s="38">
        <f>6090</f>
        <v>6090</v>
      </c>
      <c r="G391" s="38"/>
      <c r="H391" s="38"/>
      <c r="I391" s="38"/>
      <c r="J391" s="38">
        <f t="shared" si="50"/>
        <v>0</v>
      </c>
      <c r="K391" s="38"/>
      <c r="L391" s="38"/>
      <c r="M391" s="38"/>
      <c r="N391" s="38">
        <f>O391</f>
        <v>0</v>
      </c>
      <c r="O391" s="38"/>
      <c r="P391" s="56">
        <f>E391+J391</f>
        <v>6090</v>
      </c>
      <c r="Q391" s="54"/>
      <c r="R391" s="60"/>
      <c r="W391" s="54"/>
    </row>
    <row r="392" spans="1:23" s="58" customFormat="1" ht="38.25" customHeight="1">
      <c r="A392" s="100"/>
      <c r="B392" s="100" t="s">
        <v>175</v>
      </c>
      <c r="C392" s="100"/>
      <c r="D392" s="102" t="s">
        <v>121</v>
      </c>
      <c r="E392" s="52">
        <f>E393+E401+E397+E399+E395</f>
        <v>5985508</v>
      </c>
      <c r="F392" s="52">
        <f>F393+F401+F397+F399+F395</f>
        <v>5985508</v>
      </c>
      <c r="G392" s="52">
        <f>G393+G401+G397+G399</f>
        <v>3783436</v>
      </c>
      <c r="H392" s="52">
        <f>H393+H401+H397+H399</f>
        <v>383906</v>
      </c>
      <c r="I392" s="52"/>
      <c r="J392" s="52">
        <f aca="true" t="shared" si="51" ref="J392:O392">J393+J401+J397+J399</f>
        <v>0</v>
      </c>
      <c r="K392" s="52">
        <f t="shared" si="51"/>
        <v>0</v>
      </c>
      <c r="L392" s="52">
        <f t="shared" si="51"/>
        <v>0</v>
      </c>
      <c r="M392" s="52">
        <f t="shared" si="51"/>
        <v>0</v>
      </c>
      <c r="N392" s="52">
        <f t="shared" si="51"/>
        <v>0</v>
      </c>
      <c r="O392" s="52">
        <f t="shared" si="51"/>
        <v>0</v>
      </c>
      <c r="P392" s="53">
        <f t="shared" si="47"/>
        <v>5985508</v>
      </c>
      <c r="Q392" s="54"/>
      <c r="W392" s="54"/>
    </row>
    <row r="393" spans="1:23" s="58" customFormat="1" ht="12.75">
      <c r="A393" s="43"/>
      <c r="B393" s="43" t="s">
        <v>363</v>
      </c>
      <c r="C393" s="43"/>
      <c r="D393" s="44" t="s">
        <v>364</v>
      </c>
      <c r="E393" s="37">
        <f>E394</f>
        <v>5945458</v>
      </c>
      <c r="F393" s="37">
        <f>F394</f>
        <v>5945458</v>
      </c>
      <c r="G393" s="37">
        <f>G394</f>
        <v>3783436</v>
      </c>
      <c r="H393" s="37">
        <f>H394</f>
        <v>383906</v>
      </c>
      <c r="I393" s="37"/>
      <c r="J393" s="38">
        <f aca="true" t="shared" si="52" ref="J393:O393">J394</f>
        <v>0</v>
      </c>
      <c r="K393" s="38">
        <f t="shared" si="52"/>
        <v>0</v>
      </c>
      <c r="L393" s="38">
        <f t="shared" si="52"/>
        <v>0</v>
      </c>
      <c r="M393" s="38">
        <f t="shared" si="52"/>
        <v>0</v>
      </c>
      <c r="N393" s="38">
        <f t="shared" si="52"/>
        <v>0</v>
      </c>
      <c r="O393" s="38">
        <f t="shared" si="52"/>
        <v>0</v>
      </c>
      <c r="P393" s="56">
        <f t="shared" si="47"/>
        <v>5945458</v>
      </c>
      <c r="Q393" s="54"/>
      <c r="W393" s="54"/>
    </row>
    <row r="394" spans="1:23" s="58" customFormat="1" ht="12.75">
      <c r="A394" s="40"/>
      <c r="B394" s="40" t="s">
        <v>248</v>
      </c>
      <c r="C394" s="76" t="s">
        <v>4</v>
      </c>
      <c r="D394" s="59" t="s">
        <v>249</v>
      </c>
      <c r="E394" s="38">
        <f>F394+I394</f>
        <v>5945458</v>
      </c>
      <c r="F394" s="38">
        <f>5926217+478-54147+72910</f>
        <v>5945458</v>
      </c>
      <c r="G394" s="38">
        <f>3823406-39970</f>
        <v>3783436</v>
      </c>
      <c r="H394" s="38">
        <v>383906</v>
      </c>
      <c r="I394" s="38"/>
      <c r="J394" s="38">
        <f aca="true" t="shared" si="53" ref="J394:J405">K394+N394</f>
        <v>0</v>
      </c>
      <c r="K394" s="38"/>
      <c r="L394" s="38"/>
      <c r="M394" s="38"/>
      <c r="N394" s="38">
        <f>O394</f>
        <v>0</v>
      </c>
      <c r="O394" s="38"/>
      <c r="P394" s="56">
        <f t="shared" si="47"/>
        <v>5945458</v>
      </c>
      <c r="Q394" s="54"/>
      <c r="W394" s="54"/>
    </row>
    <row r="395" spans="1:23" s="58" customFormat="1" ht="12.75" hidden="1">
      <c r="A395" s="40"/>
      <c r="B395" s="40" t="s">
        <v>380</v>
      </c>
      <c r="C395" s="40"/>
      <c r="D395" s="36" t="s">
        <v>381</v>
      </c>
      <c r="E395" s="38"/>
      <c r="F395" s="38"/>
      <c r="G395" s="38">
        <f>G396</f>
        <v>0</v>
      </c>
      <c r="H395" s="38">
        <f>H396</f>
        <v>0</v>
      </c>
      <c r="I395" s="38"/>
      <c r="J395" s="38">
        <f t="shared" si="53"/>
        <v>0</v>
      </c>
      <c r="K395" s="38"/>
      <c r="L395" s="38"/>
      <c r="M395" s="38"/>
      <c r="N395" s="38"/>
      <c r="O395" s="38"/>
      <c r="P395" s="56">
        <f t="shared" si="47"/>
        <v>0</v>
      </c>
      <c r="Q395" s="54"/>
      <c r="W395" s="54"/>
    </row>
    <row r="396" spans="1:23" ht="27.75" customHeight="1" hidden="1">
      <c r="A396" s="40"/>
      <c r="B396" s="40" t="s">
        <v>342</v>
      </c>
      <c r="C396" s="40"/>
      <c r="D396" s="61" t="s">
        <v>336</v>
      </c>
      <c r="E396" s="38"/>
      <c r="F396" s="38"/>
      <c r="G396" s="38"/>
      <c r="H396" s="38"/>
      <c r="I396" s="38"/>
      <c r="J396" s="38">
        <f t="shared" si="53"/>
        <v>0</v>
      </c>
      <c r="K396" s="38"/>
      <c r="L396" s="38"/>
      <c r="M396" s="38"/>
      <c r="N396" s="38"/>
      <c r="O396" s="38"/>
      <c r="P396" s="56">
        <f t="shared" si="47"/>
        <v>0</v>
      </c>
      <c r="Q396" s="54"/>
      <c r="R396" s="60"/>
      <c r="W396" s="54"/>
    </row>
    <row r="397" spans="1:23" ht="12.75" hidden="1">
      <c r="A397" s="9"/>
      <c r="B397" s="9" t="s">
        <v>370</v>
      </c>
      <c r="C397" s="9"/>
      <c r="D397" s="4" t="s">
        <v>374</v>
      </c>
      <c r="E397" s="38">
        <f>E398</f>
        <v>0</v>
      </c>
      <c r="F397" s="38"/>
      <c r="G397" s="38">
        <f>G398</f>
        <v>0</v>
      </c>
      <c r="H397" s="38">
        <f>H398</f>
        <v>0</v>
      </c>
      <c r="I397" s="38"/>
      <c r="J397" s="38">
        <f>K397+N397</f>
        <v>0</v>
      </c>
      <c r="K397" s="38">
        <f>K398</f>
        <v>0</v>
      </c>
      <c r="L397" s="38">
        <f>L398</f>
        <v>0</v>
      </c>
      <c r="M397" s="38">
        <f>M398</f>
        <v>0</v>
      </c>
      <c r="N397" s="38">
        <f>N398</f>
        <v>0</v>
      </c>
      <c r="O397" s="38">
        <f>O398</f>
        <v>0</v>
      </c>
      <c r="P397" s="56">
        <f t="shared" si="47"/>
        <v>0</v>
      </c>
      <c r="Q397" s="54"/>
      <c r="R397" s="60"/>
      <c r="W397" s="54"/>
    </row>
    <row r="398" spans="1:23" ht="63.75" hidden="1">
      <c r="A398" s="9"/>
      <c r="B398" s="9" t="s">
        <v>286</v>
      </c>
      <c r="C398" s="9"/>
      <c r="D398" s="75" t="s">
        <v>100</v>
      </c>
      <c r="E398" s="38"/>
      <c r="F398" s="38"/>
      <c r="G398" s="38"/>
      <c r="H398" s="38"/>
      <c r="I398" s="38"/>
      <c r="J398" s="38">
        <f>K398+N398</f>
        <v>0</v>
      </c>
      <c r="K398" s="38"/>
      <c r="L398" s="38"/>
      <c r="M398" s="38"/>
      <c r="N398" s="38"/>
      <c r="O398" s="38"/>
      <c r="P398" s="56">
        <f t="shared" si="47"/>
        <v>0</v>
      </c>
      <c r="Q398" s="54"/>
      <c r="R398" s="60"/>
      <c r="W398" s="54"/>
    </row>
    <row r="399" spans="1:23" ht="38.25" hidden="1">
      <c r="A399" s="9"/>
      <c r="B399" s="9" t="s">
        <v>188</v>
      </c>
      <c r="C399" s="9"/>
      <c r="D399" s="61" t="s">
        <v>351</v>
      </c>
      <c r="E399" s="38">
        <f>E400</f>
        <v>0</v>
      </c>
      <c r="F399" s="38"/>
      <c r="G399" s="38"/>
      <c r="H399" s="38"/>
      <c r="I399" s="38"/>
      <c r="J399" s="38">
        <f>J400</f>
        <v>0</v>
      </c>
      <c r="K399" s="38"/>
      <c r="L399" s="38"/>
      <c r="M399" s="38"/>
      <c r="N399" s="38">
        <f>N400</f>
        <v>0</v>
      </c>
      <c r="O399" s="38">
        <f>O400</f>
        <v>0</v>
      </c>
      <c r="P399" s="56">
        <f t="shared" si="47"/>
        <v>0</v>
      </c>
      <c r="Q399" s="54"/>
      <c r="R399" s="60"/>
      <c r="W399" s="54"/>
    </row>
    <row r="400" spans="1:23" ht="38.25" hidden="1">
      <c r="A400" s="9"/>
      <c r="B400" s="9" t="s">
        <v>284</v>
      </c>
      <c r="C400" s="9"/>
      <c r="D400" s="75" t="s">
        <v>240</v>
      </c>
      <c r="E400" s="38"/>
      <c r="F400" s="38"/>
      <c r="G400" s="38"/>
      <c r="H400" s="38"/>
      <c r="I400" s="38"/>
      <c r="J400" s="38">
        <f>K400+N400</f>
        <v>0</v>
      </c>
      <c r="K400" s="38"/>
      <c r="L400" s="38"/>
      <c r="M400" s="38"/>
      <c r="N400" s="38">
        <f>O400</f>
        <v>0</v>
      </c>
      <c r="O400" s="38"/>
      <c r="P400" s="56">
        <f t="shared" si="47"/>
        <v>0</v>
      </c>
      <c r="Q400" s="54"/>
      <c r="R400" s="60"/>
      <c r="W400" s="54"/>
    </row>
    <row r="401" spans="1:23" ht="25.5">
      <c r="A401" s="43"/>
      <c r="B401" s="43" t="s">
        <v>372</v>
      </c>
      <c r="C401" s="43"/>
      <c r="D401" s="44" t="s">
        <v>373</v>
      </c>
      <c r="E401" s="37">
        <f>E403+E402</f>
        <v>40050</v>
      </c>
      <c r="F401" s="37">
        <f>F403</f>
        <v>40050</v>
      </c>
      <c r="G401" s="37">
        <f>G403</f>
        <v>0</v>
      </c>
      <c r="H401" s="37">
        <f>H403</f>
        <v>0</v>
      </c>
      <c r="I401" s="37"/>
      <c r="J401" s="37">
        <f t="shared" si="53"/>
        <v>0</v>
      </c>
      <c r="K401" s="37"/>
      <c r="L401" s="37"/>
      <c r="M401" s="37"/>
      <c r="N401" s="37"/>
      <c r="O401" s="37"/>
      <c r="P401" s="56">
        <f aca="true" t="shared" si="54" ref="P401:P411">E401+J401</f>
        <v>40050</v>
      </c>
      <c r="Q401" s="54"/>
      <c r="R401" s="60"/>
      <c r="W401" s="54"/>
    </row>
    <row r="402" spans="1:23" ht="12.75" hidden="1">
      <c r="A402" s="43"/>
      <c r="B402" s="88" t="s">
        <v>423</v>
      </c>
      <c r="C402" s="43"/>
      <c r="D402" s="74" t="s">
        <v>424</v>
      </c>
      <c r="E402" s="37"/>
      <c r="F402" s="37"/>
      <c r="G402" s="37"/>
      <c r="H402" s="37"/>
      <c r="I402" s="37"/>
      <c r="J402" s="37"/>
      <c r="K402" s="37"/>
      <c r="L402" s="37"/>
      <c r="M402" s="37"/>
      <c r="N402" s="37"/>
      <c r="O402" s="37"/>
      <c r="P402" s="56">
        <f t="shared" si="54"/>
        <v>0</v>
      </c>
      <c r="Q402" s="54"/>
      <c r="R402" s="60"/>
      <c r="W402" s="54"/>
    </row>
    <row r="403" spans="1:23" ht="12.75">
      <c r="A403" s="43"/>
      <c r="B403" s="43" t="s">
        <v>287</v>
      </c>
      <c r="C403" s="88" t="s">
        <v>7</v>
      </c>
      <c r="D403" s="44" t="s">
        <v>316</v>
      </c>
      <c r="E403" s="115">
        <f>E404</f>
        <v>40050</v>
      </c>
      <c r="F403" s="115">
        <f>F404</f>
        <v>40050</v>
      </c>
      <c r="G403" s="37"/>
      <c r="H403" s="37"/>
      <c r="I403" s="37"/>
      <c r="J403" s="37">
        <f t="shared" si="53"/>
        <v>0</v>
      </c>
      <c r="K403" s="37"/>
      <c r="L403" s="37"/>
      <c r="M403" s="37"/>
      <c r="N403" s="37"/>
      <c r="O403" s="37"/>
      <c r="P403" s="56">
        <f t="shared" si="54"/>
        <v>40050</v>
      </c>
      <c r="Q403" s="54"/>
      <c r="R403" s="60"/>
      <c r="W403" s="54"/>
    </row>
    <row r="404" spans="1:23" ht="44.25" customHeight="1" hidden="1">
      <c r="A404" s="43"/>
      <c r="B404" s="43"/>
      <c r="C404" s="43"/>
      <c r="D404" s="74" t="s">
        <v>101</v>
      </c>
      <c r="E404" s="38">
        <f>F404+I404</f>
        <v>40050</v>
      </c>
      <c r="F404" s="38">
        <f>26700+13350</f>
        <v>40050</v>
      </c>
      <c r="G404" s="37"/>
      <c r="H404" s="37"/>
      <c r="I404" s="37"/>
      <c r="J404" s="37"/>
      <c r="K404" s="37"/>
      <c r="L404" s="37"/>
      <c r="M404" s="37"/>
      <c r="N404" s="37"/>
      <c r="O404" s="37"/>
      <c r="P404" s="56">
        <f t="shared" si="54"/>
        <v>40050</v>
      </c>
      <c r="Q404" s="54"/>
      <c r="R404" s="60"/>
      <c r="W404" s="54"/>
    </row>
    <row r="405" spans="1:23" ht="26.25" customHeight="1">
      <c r="A405" s="100"/>
      <c r="B405" s="100" t="s">
        <v>176</v>
      </c>
      <c r="C405" s="100"/>
      <c r="D405" s="102" t="s">
        <v>121</v>
      </c>
      <c r="E405" s="52">
        <f>E406</f>
        <v>171142500</v>
      </c>
      <c r="F405" s="52">
        <f>F406</f>
        <v>155842500</v>
      </c>
      <c r="G405" s="52">
        <f>G406</f>
        <v>0</v>
      </c>
      <c r="H405" s="52">
        <f>H406</f>
        <v>0</v>
      </c>
      <c r="I405" s="52"/>
      <c r="J405" s="52">
        <f t="shared" si="53"/>
        <v>11886944</v>
      </c>
      <c r="K405" s="52">
        <f>K406</f>
        <v>0</v>
      </c>
      <c r="L405" s="52">
        <f>L406</f>
        <v>0</v>
      </c>
      <c r="M405" s="52">
        <f>M406</f>
        <v>0</v>
      </c>
      <c r="N405" s="52">
        <f>N406</f>
        <v>11886944</v>
      </c>
      <c r="O405" s="52">
        <f>O406</f>
        <v>11886944</v>
      </c>
      <c r="P405" s="53">
        <f t="shared" si="54"/>
        <v>183029444</v>
      </c>
      <c r="Q405" s="54"/>
      <c r="R405" s="60"/>
      <c r="W405" s="54"/>
    </row>
    <row r="406" spans="1:23" ht="25.5">
      <c r="A406" s="43"/>
      <c r="B406" s="43" t="s">
        <v>372</v>
      </c>
      <c r="C406" s="43"/>
      <c r="D406" s="44" t="s">
        <v>373</v>
      </c>
      <c r="E406" s="37">
        <f>E407+E408+E410+E411</f>
        <v>171142500</v>
      </c>
      <c r="F406" s="37">
        <f>F408+F409+F410+F411</f>
        <v>155842500</v>
      </c>
      <c r="G406" s="37">
        <f aca="true" t="shared" si="55" ref="G406:M406">G408+G409+G410</f>
        <v>0</v>
      </c>
      <c r="H406" s="37">
        <f t="shared" si="55"/>
        <v>0</v>
      </c>
      <c r="I406" s="37"/>
      <c r="J406" s="37">
        <f t="shared" si="55"/>
        <v>7101544</v>
      </c>
      <c r="K406" s="37">
        <f t="shared" si="55"/>
        <v>0</v>
      </c>
      <c r="L406" s="37">
        <f t="shared" si="55"/>
        <v>0</v>
      </c>
      <c r="M406" s="37">
        <f t="shared" si="55"/>
        <v>0</v>
      </c>
      <c r="N406" s="37">
        <f>N408+N409+N410+N411</f>
        <v>11886944</v>
      </c>
      <c r="O406" s="37">
        <f>O408+O409+O410+O411</f>
        <v>11886944</v>
      </c>
      <c r="P406" s="56">
        <f t="shared" si="54"/>
        <v>178244044</v>
      </c>
      <c r="Q406" s="54"/>
      <c r="R406" s="60"/>
      <c r="W406" s="54"/>
    </row>
    <row r="407" spans="1:23" ht="12.75">
      <c r="A407" s="43"/>
      <c r="B407" s="88" t="s">
        <v>423</v>
      </c>
      <c r="C407" s="88" t="s">
        <v>7</v>
      </c>
      <c r="D407" s="74" t="s">
        <v>424</v>
      </c>
      <c r="E407" s="37">
        <f>30000000-14700000</f>
        <v>15300000</v>
      </c>
      <c r="F407" s="37"/>
      <c r="G407" s="37"/>
      <c r="H407" s="37"/>
      <c r="I407" s="37"/>
      <c r="J407" s="37"/>
      <c r="K407" s="37"/>
      <c r="L407" s="37"/>
      <c r="M407" s="37"/>
      <c r="N407" s="37"/>
      <c r="O407" s="37"/>
      <c r="P407" s="56">
        <f t="shared" si="54"/>
        <v>15300000</v>
      </c>
      <c r="Q407" s="54"/>
      <c r="R407" s="60"/>
      <c r="W407" s="54"/>
    </row>
    <row r="408" spans="1:23" s="55" customFormat="1" ht="12.75">
      <c r="A408" s="88"/>
      <c r="B408" s="88" t="s">
        <v>289</v>
      </c>
      <c r="C408" s="88" t="s">
        <v>43</v>
      </c>
      <c r="D408" s="74" t="s">
        <v>422</v>
      </c>
      <c r="E408" s="37">
        <f>F408</f>
        <v>154912300</v>
      </c>
      <c r="F408" s="37">
        <v>154912300</v>
      </c>
      <c r="G408" s="37"/>
      <c r="H408" s="37"/>
      <c r="I408" s="37"/>
      <c r="J408" s="37"/>
      <c r="K408" s="37"/>
      <c r="L408" s="37"/>
      <c r="M408" s="37"/>
      <c r="N408" s="37"/>
      <c r="O408" s="37"/>
      <c r="P408" s="56">
        <f t="shared" si="54"/>
        <v>154912300</v>
      </c>
      <c r="Q408" s="54"/>
      <c r="R408" s="54"/>
      <c r="W408" s="54"/>
    </row>
    <row r="409" spans="1:23" s="58" customFormat="1" ht="51" hidden="1">
      <c r="A409" s="40"/>
      <c r="B409" s="40" t="s">
        <v>72</v>
      </c>
      <c r="C409" s="40"/>
      <c r="D409" s="70" t="s">
        <v>147</v>
      </c>
      <c r="E409" s="38"/>
      <c r="F409" s="38"/>
      <c r="G409" s="38"/>
      <c r="H409" s="38"/>
      <c r="I409" s="38"/>
      <c r="J409" s="38">
        <f>K409+N409</f>
        <v>0</v>
      </c>
      <c r="K409" s="38"/>
      <c r="L409" s="38"/>
      <c r="M409" s="38"/>
      <c r="N409" s="38">
        <f>O409</f>
        <v>0</v>
      </c>
      <c r="O409" s="38">
        <f>2730600+36104-2568000-140527-58177</f>
        <v>0</v>
      </c>
      <c r="P409" s="56">
        <f t="shared" si="54"/>
        <v>0</v>
      </c>
      <c r="Q409" s="54"/>
      <c r="R409" s="57"/>
      <c r="W409" s="54"/>
    </row>
    <row r="410" spans="1:23" s="58" customFormat="1" ht="12.75">
      <c r="A410" s="76"/>
      <c r="B410" s="76" t="s">
        <v>226</v>
      </c>
      <c r="C410" s="76" t="s">
        <v>43</v>
      </c>
      <c r="D410" s="70" t="s">
        <v>225</v>
      </c>
      <c r="E410" s="38">
        <f>F410</f>
        <v>0</v>
      </c>
      <c r="F410" s="38"/>
      <c r="G410" s="38"/>
      <c r="H410" s="38"/>
      <c r="I410" s="38"/>
      <c r="J410" s="38">
        <f>N410</f>
        <v>7101544</v>
      </c>
      <c r="K410" s="38"/>
      <c r="L410" s="38"/>
      <c r="M410" s="38"/>
      <c r="N410" s="38">
        <f>O410</f>
        <v>7101544</v>
      </c>
      <c r="O410" s="38">
        <f>7097284+4260</f>
        <v>7101544</v>
      </c>
      <c r="P410" s="56">
        <f t="shared" si="54"/>
        <v>7101544</v>
      </c>
      <c r="Q410" s="54"/>
      <c r="R410" s="57"/>
      <c r="W410" s="54"/>
    </row>
    <row r="411" spans="1:23" s="58" customFormat="1" ht="51">
      <c r="A411" s="76"/>
      <c r="B411" s="40" t="s">
        <v>72</v>
      </c>
      <c r="C411" s="76" t="s">
        <v>43</v>
      </c>
      <c r="D411" s="70" t="s">
        <v>147</v>
      </c>
      <c r="E411" s="38">
        <f>F411</f>
        <v>930200</v>
      </c>
      <c r="F411" s="38">
        <f>214600+715600</f>
        <v>930200</v>
      </c>
      <c r="G411" s="38"/>
      <c r="H411" s="38"/>
      <c r="I411" s="38"/>
      <c r="J411" s="38">
        <f>N411</f>
        <v>4785400</v>
      </c>
      <c r="K411" s="38"/>
      <c r="L411" s="38"/>
      <c r="M411" s="38"/>
      <c r="N411" s="38">
        <f>O411</f>
        <v>4785400</v>
      </c>
      <c r="O411" s="38">
        <f>4785400</f>
        <v>4785400</v>
      </c>
      <c r="P411" s="56">
        <f t="shared" si="54"/>
        <v>5715600</v>
      </c>
      <c r="Q411" s="54"/>
      <c r="R411" s="57"/>
      <c r="W411" s="54"/>
    </row>
    <row r="412" spans="1:23" s="19" customFormat="1" ht="38.25" customHeight="1">
      <c r="A412" s="18"/>
      <c r="B412" s="18" t="s">
        <v>154</v>
      </c>
      <c r="C412" s="18"/>
      <c r="D412" s="20" t="s">
        <v>129</v>
      </c>
      <c r="E412" s="31">
        <f>E413+E417+E423+E425+E421+E415</f>
        <v>5977214</v>
      </c>
      <c r="F412" s="31">
        <f>F413+F417+F423+F425+F421+F415</f>
        <v>5977214</v>
      </c>
      <c r="G412" s="31">
        <f aca="true" t="shared" si="56" ref="G412:M412">G413+G417+G423+G425</f>
        <v>2737969</v>
      </c>
      <c r="H412" s="31">
        <f t="shared" si="56"/>
        <v>640512</v>
      </c>
      <c r="I412" s="31"/>
      <c r="J412" s="31">
        <f>J413+J417+J423+J425+J419</f>
        <v>142880</v>
      </c>
      <c r="K412" s="31">
        <f t="shared" si="56"/>
        <v>92124</v>
      </c>
      <c r="L412" s="31">
        <f t="shared" si="56"/>
        <v>0</v>
      </c>
      <c r="M412" s="31">
        <f t="shared" si="56"/>
        <v>0</v>
      </c>
      <c r="N412" s="31">
        <f>N413+N417+N423+N425+N419</f>
        <v>50756</v>
      </c>
      <c r="O412" s="31">
        <f>O413+O417+O423+O425+O419</f>
        <v>50756</v>
      </c>
      <c r="P412" s="30">
        <f>E412+J412</f>
        <v>6120094</v>
      </c>
      <c r="Q412" s="54"/>
      <c r="W412" s="54"/>
    </row>
    <row r="413" spans="1:23" s="3" customFormat="1" ht="12.75">
      <c r="A413" s="9"/>
      <c r="B413" s="9" t="s">
        <v>363</v>
      </c>
      <c r="C413" s="9"/>
      <c r="D413" s="4" t="s">
        <v>364</v>
      </c>
      <c r="E413" s="27">
        <f>E414</f>
        <v>4667222</v>
      </c>
      <c r="F413" s="27">
        <f>F414</f>
        <v>4667222</v>
      </c>
      <c r="G413" s="27">
        <f>G414</f>
        <v>2737969</v>
      </c>
      <c r="H413" s="27">
        <f>H414</f>
        <v>497578</v>
      </c>
      <c r="I413" s="27"/>
      <c r="J413" s="27">
        <f>K413+N413</f>
        <v>142880</v>
      </c>
      <c r="K413" s="27">
        <f>K414</f>
        <v>92124</v>
      </c>
      <c r="L413" s="27">
        <f>L414</f>
        <v>0</v>
      </c>
      <c r="M413" s="27">
        <f>M414</f>
        <v>0</v>
      </c>
      <c r="N413" s="27">
        <f>N414</f>
        <v>50756</v>
      </c>
      <c r="O413" s="27">
        <f>O414</f>
        <v>50756</v>
      </c>
      <c r="P413" s="26">
        <f aca="true" t="shared" si="57" ref="P413:P465">E413+J413</f>
        <v>4810102</v>
      </c>
      <c r="Q413" s="54"/>
      <c r="W413" s="54"/>
    </row>
    <row r="414" spans="1:23" s="3" customFormat="1" ht="12.75">
      <c r="A414" s="9"/>
      <c r="B414" s="9" t="s">
        <v>248</v>
      </c>
      <c r="C414" s="9" t="s">
        <v>4</v>
      </c>
      <c r="D414" s="4" t="s">
        <v>249</v>
      </c>
      <c r="E414" s="27">
        <f>F414+I414</f>
        <v>4667222</v>
      </c>
      <c r="F414" s="27">
        <f>4619259+47963</f>
        <v>4667222</v>
      </c>
      <c r="G414" s="27">
        <f>2702650+35319</f>
        <v>2737969</v>
      </c>
      <c r="H414" s="27">
        <v>497578</v>
      </c>
      <c r="I414" s="27"/>
      <c r="J414" s="27">
        <f>K414+N414</f>
        <v>142880</v>
      </c>
      <c r="K414" s="27">
        <v>92124</v>
      </c>
      <c r="L414" s="27"/>
      <c r="M414" s="27"/>
      <c r="N414" s="27">
        <f>O414</f>
        <v>50756</v>
      </c>
      <c r="O414" s="27">
        <v>50756</v>
      </c>
      <c r="P414" s="26">
        <f t="shared" si="57"/>
        <v>4810102</v>
      </c>
      <c r="Q414" s="54"/>
      <c r="W414" s="54"/>
    </row>
    <row r="415" spans="1:23" s="3" customFormat="1" ht="25.5">
      <c r="A415" s="40"/>
      <c r="B415" s="40" t="s">
        <v>270</v>
      </c>
      <c r="C415" s="40"/>
      <c r="D415" s="59" t="s">
        <v>317</v>
      </c>
      <c r="E415" s="27">
        <f>E416</f>
        <v>7822</v>
      </c>
      <c r="F415" s="27">
        <f>F416</f>
        <v>7822</v>
      </c>
      <c r="G415" s="27"/>
      <c r="H415" s="27"/>
      <c r="I415" s="27"/>
      <c r="J415" s="27"/>
      <c r="K415" s="27"/>
      <c r="L415" s="27"/>
      <c r="M415" s="27"/>
      <c r="N415" s="27"/>
      <c r="O415" s="27"/>
      <c r="P415" s="26">
        <f t="shared" si="57"/>
        <v>7822</v>
      </c>
      <c r="Q415" s="54"/>
      <c r="W415" s="54"/>
    </row>
    <row r="416" spans="1:23" s="3" customFormat="1" ht="25.5">
      <c r="A416" s="40"/>
      <c r="B416" s="40" t="s">
        <v>271</v>
      </c>
      <c r="C416" s="76" t="s">
        <v>28</v>
      </c>
      <c r="D416" s="36" t="s">
        <v>331</v>
      </c>
      <c r="E416" s="27">
        <f>F416+I416</f>
        <v>7822</v>
      </c>
      <c r="F416" s="27">
        <v>7822</v>
      </c>
      <c r="G416" s="27"/>
      <c r="H416" s="27"/>
      <c r="I416" s="27"/>
      <c r="J416" s="27"/>
      <c r="K416" s="27"/>
      <c r="L416" s="27"/>
      <c r="M416" s="27"/>
      <c r="N416" s="27"/>
      <c r="O416" s="27"/>
      <c r="P416" s="26">
        <f t="shared" si="57"/>
        <v>7822</v>
      </c>
      <c r="Q416" s="54"/>
      <c r="W416" s="54"/>
    </row>
    <row r="417" spans="1:23" s="3" customFormat="1" ht="12.75">
      <c r="A417" s="9"/>
      <c r="B417" s="9" t="s">
        <v>375</v>
      </c>
      <c r="C417" s="9"/>
      <c r="D417" s="4" t="s">
        <v>376</v>
      </c>
      <c r="E417" s="27">
        <f>E418</f>
        <v>923329</v>
      </c>
      <c r="F417" s="27">
        <f>F418</f>
        <v>923329</v>
      </c>
      <c r="G417" s="27">
        <f aca="true" t="shared" si="58" ref="G417:O417">G418</f>
        <v>0</v>
      </c>
      <c r="H417" s="27">
        <f t="shared" si="58"/>
        <v>142934</v>
      </c>
      <c r="I417" s="27"/>
      <c r="J417" s="27">
        <f t="shared" si="58"/>
        <v>0</v>
      </c>
      <c r="K417" s="27">
        <f t="shared" si="58"/>
        <v>0</v>
      </c>
      <c r="L417" s="27">
        <f t="shared" si="58"/>
        <v>0</v>
      </c>
      <c r="M417" s="27">
        <f t="shared" si="58"/>
        <v>0</v>
      </c>
      <c r="N417" s="27">
        <f t="shared" si="58"/>
        <v>0</v>
      </c>
      <c r="O417" s="27">
        <f t="shared" si="58"/>
        <v>0</v>
      </c>
      <c r="P417" s="26">
        <f t="shared" si="57"/>
        <v>923329</v>
      </c>
      <c r="Q417" s="54"/>
      <c r="W417" s="54"/>
    </row>
    <row r="418" spans="1:23" s="3" customFormat="1" ht="12.75">
      <c r="A418" s="9"/>
      <c r="B418" s="9" t="s">
        <v>93</v>
      </c>
      <c r="C418" s="9" t="s">
        <v>37</v>
      </c>
      <c r="D418" s="4" t="s">
        <v>97</v>
      </c>
      <c r="E418" s="27">
        <f>F418+I418</f>
        <v>923329</v>
      </c>
      <c r="F418" s="27">
        <f>202895+720434</f>
        <v>923329</v>
      </c>
      <c r="G418" s="27"/>
      <c r="H418" s="27">
        <v>142934</v>
      </c>
      <c r="I418" s="27"/>
      <c r="J418" s="27">
        <f>K418+N418</f>
        <v>0</v>
      </c>
      <c r="K418" s="27"/>
      <c r="L418" s="27"/>
      <c r="M418" s="27"/>
      <c r="N418" s="27"/>
      <c r="O418" s="27"/>
      <c r="P418" s="26">
        <f t="shared" si="57"/>
        <v>923329</v>
      </c>
      <c r="Q418" s="54"/>
      <c r="W418" s="54"/>
    </row>
    <row r="419" spans="1:23" s="3" customFormat="1" ht="12.75" hidden="1">
      <c r="A419" s="40"/>
      <c r="B419" s="40" t="s">
        <v>367</v>
      </c>
      <c r="C419" s="40"/>
      <c r="D419" s="61" t="s">
        <v>282</v>
      </c>
      <c r="E419" s="38"/>
      <c r="F419" s="38"/>
      <c r="G419" s="38"/>
      <c r="H419" s="38"/>
      <c r="I419" s="38"/>
      <c r="J419" s="38">
        <f>K419+N419</f>
        <v>0</v>
      </c>
      <c r="K419" s="38"/>
      <c r="L419" s="38"/>
      <c r="M419" s="38"/>
      <c r="N419" s="38">
        <f>N420</f>
        <v>0</v>
      </c>
      <c r="O419" s="38">
        <f>O420</f>
        <v>0</v>
      </c>
      <c r="P419" s="26">
        <f t="shared" si="57"/>
        <v>0</v>
      </c>
      <c r="Q419" s="54"/>
      <c r="W419" s="54"/>
    </row>
    <row r="420" spans="1:23" s="3" customFormat="1" ht="12.75" hidden="1">
      <c r="A420" s="40"/>
      <c r="B420" s="40" t="s">
        <v>338</v>
      </c>
      <c r="C420" s="40"/>
      <c r="D420" s="59" t="s">
        <v>339</v>
      </c>
      <c r="E420" s="38"/>
      <c r="F420" s="38"/>
      <c r="G420" s="38"/>
      <c r="H420" s="38"/>
      <c r="I420" s="38"/>
      <c r="J420" s="38">
        <f>K420+N420</f>
        <v>0</v>
      </c>
      <c r="K420" s="38"/>
      <c r="L420" s="38"/>
      <c r="M420" s="38"/>
      <c r="N420" s="38">
        <f>95000-95000</f>
        <v>0</v>
      </c>
      <c r="O420" s="38">
        <f>95000-95000</f>
        <v>0</v>
      </c>
      <c r="P420" s="26">
        <f t="shared" si="57"/>
        <v>0</v>
      </c>
      <c r="Q420" s="54"/>
      <c r="W420" s="54"/>
    </row>
    <row r="421" spans="1:23" s="3" customFormat="1" ht="38.25" hidden="1">
      <c r="A421" s="40"/>
      <c r="B421" s="40">
        <v>210000</v>
      </c>
      <c r="C421" s="40"/>
      <c r="D421" s="61" t="s">
        <v>351</v>
      </c>
      <c r="E421" s="38">
        <f>E422</f>
        <v>0</v>
      </c>
      <c r="F421" s="38">
        <f>F422</f>
        <v>0</v>
      </c>
      <c r="G421" s="38"/>
      <c r="H421" s="38"/>
      <c r="I421" s="38"/>
      <c r="J421" s="38"/>
      <c r="K421" s="38"/>
      <c r="L421" s="38"/>
      <c r="M421" s="38"/>
      <c r="N421" s="38"/>
      <c r="O421" s="38"/>
      <c r="P421" s="26">
        <f t="shared" si="57"/>
        <v>0</v>
      </c>
      <c r="Q421" s="54"/>
      <c r="W421" s="54"/>
    </row>
    <row r="422" spans="1:23" s="3" customFormat="1" ht="38.25" hidden="1">
      <c r="A422" s="40"/>
      <c r="B422" s="40" t="s">
        <v>284</v>
      </c>
      <c r="C422" s="40"/>
      <c r="D422" s="75" t="s">
        <v>240</v>
      </c>
      <c r="E422" s="38">
        <f>F422+I422</f>
        <v>0</v>
      </c>
      <c r="F422" s="38"/>
      <c r="G422" s="38"/>
      <c r="H422" s="38"/>
      <c r="I422" s="38"/>
      <c r="J422" s="38"/>
      <c r="K422" s="38"/>
      <c r="L422" s="38"/>
      <c r="M422" s="38"/>
      <c r="N422" s="38"/>
      <c r="O422" s="38"/>
      <c r="P422" s="26">
        <f t="shared" si="57"/>
        <v>0</v>
      </c>
      <c r="Q422" s="54"/>
      <c r="W422" s="54"/>
    </row>
    <row r="423" spans="1:23" s="3" customFormat="1" ht="12.75" hidden="1">
      <c r="A423" s="9"/>
      <c r="B423" s="9" t="s">
        <v>370</v>
      </c>
      <c r="C423" s="9"/>
      <c r="D423" s="4" t="s">
        <v>374</v>
      </c>
      <c r="E423" s="27">
        <f>E424</f>
        <v>0</v>
      </c>
      <c r="F423" s="27"/>
      <c r="G423" s="27">
        <f aca="true" t="shared" si="59" ref="G423:O423">G424</f>
        <v>0</v>
      </c>
      <c r="H423" s="27">
        <f t="shared" si="59"/>
        <v>0</v>
      </c>
      <c r="I423" s="27"/>
      <c r="J423" s="27">
        <f t="shared" si="59"/>
        <v>0</v>
      </c>
      <c r="K423" s="27">
        <f t="shared" si="59"/>
        <v>0</v>
      </c>
      <c r="L423" s="27">
        <f t="shared" si="59"/>
        <v>0</v>
      </c>
      <c r="M423" s="27">
        <f t="shared" si="59"/>
        <v>0</v>
      </c>
      <c r="N423" s="27">
        <f t="shared" si="59"/>
        <v>0</v>
      </c>
      <c r="O423" s="27">
        <f t="shared" si="59"/>
        <v>0</v>
      </c>
      <c r="P423" s="26">
        <f t="shared" si="57"/>
        <v>0</v>
      </c>
      <c r="Q423" s="54"/>
      <c r="W423" s="54"/>
    </row>
    <row r="424" spans="1:23" s="3" customFormat="1" ht="79.5" customHeight="1" hidden="1">
      <c r="A424" s="9"/>
      <c r="B424" s="9" t="s">
        <v>286</v>
      </c>
      <c r="C424" s="9"/>
      <c r="D424" s="75" t="s">
        <v>100</v>
      </c>
      <c r="E424" s="27"/>
      <c r="F424" s="27"/>
      <c r="G424" s="27"/>
      <c r="H424" s="27"/>
      <c r="I424" s="27"/>
      <c r="J424" s="27">
        <f>K424+N424</f>
        <v>0</v>
      </c>
      <c r="K424" s="27"/>
      <c r="L424" s="27"/>
      <c r="M424" s="27"/>
      <c r="N424" s="27">
        <f>25000-25000</f>
        <v>0</v>
      </c>
      <c r="O424" s="27"/>
      <c r="P424" s="26">
        <f t="shared" si="57"/>
        <v>0</v>
      </c>
      <c r="Q424" s="54"/>
      <c r="W424" s="54"/>
    </row>
    <row r="425" spans="1:23" s="3" customFormat="1" ht="25.5">
      <c r="A425" s="9"/>
      <c r="B425" s="9" t="s">
        <v>372</v>
      </c>
      <c r="C425" s="9"/>
      <c r="D425" s="61" t="s">
        <v>373</v>
      </c>
      <c r="E425" s="27">
        <f>E426</f>
        <v>378841</v>
      </c>
      <c r="F425" s="27">
        <f>F426</f>
        <v>378841</v>
      </c>
      <c r="G425" s="27">
        <f>G426</f>
        <v>0</v>
      </c>
      <c r="H425" s="27">
        <f>H426</f>
        <v>0</v>
      </c>
      <c r="I425" s="27"/>
      <c r="J425" s="27"/>
      <c r="K425" s="27"/>
      <c r="L425" s="27"/>
      <c r="M425" s="27"/>
      <c r="N425" s="27"/>
      <c r="O425" s="27"/>
      <c r="P425" s="26">
        <f t="shared" si="57"/>
        <v>378841</v>
      </c>
      <c r="Q425" s="54"/>
      <c r="W425" s="54"/>
    </row>
    <row r="426" spans="1:23" s="3" customFormat="1" ht="12.75">
      <c r="A426" s="9"/>
      <c r="B426" s="9" t="s">
        <v>287</v>
      </c>
      <c r="C426" s="9" t="s">
        <v>7</v>
      </c>
      <c r="D426" s="4" t="s">
        <v>316</v>
      </c>
      <c r="E426" s="27">
        <f>SUM(E427:E433)</f>
        <v>378841</v>
      </c>
      <c r="F426" s="27">
        <f>SUM(F427:F433)</f>
        <v>378841</v>
      </c>
      <c r="G426" s="27"/>
      <c r="H426" s="27"/>
      <c r="I426" s="27"/>
      <c r="J426" s="27"/>
      <c r="K426" s="27"/>
      <c r="L426" s="27"/>
      <c r="M426" s="27"/>
      <c r="N426" s="27"/>
      <c r="O426" s="27"/>
      <c r="P426" s="26">
        <f t="shared" si="57"/>
        <v>378841</v>
      </c>
      <c r="Q426" s="54"/>
      <c r="W426" s="54"/>
    </row>
    <row r="427" spans="1:23" s="3" customFormat="1" ht="38.25" hidden="1">
      <c r="A427" s="9"/>
      <c r="B427" s="9"/>
      <c r="C427" s="9"/>
      <c r="D427" s="4" t="s">
        <v>179</v>
      </c>
      <c r="E427" s="27">
        <f>F427+I427</f>
        <v>198544</v>
      </c>
      <c r="F427" s="27">
        <v>198544</v>
      </c>
      <c r="G427" s="27"/>
      <c r="H427" s="27"/>
      <c r="I427" s="27"/>
      <c r="J427" s="27"/>
      <c r="K427" s="27"/>
      <c r="L427" s="27"/>
      <c r="M427" s="27"/>
      <c r="N427" s="27"/>
      <c r="O427" s="27"/>
      <c r="P427" s="26">
        <f t="shared" si="57"/>
        <v>198544</v>
      </c>
      <c r="Q427" s="54"/>
      <c r="W427" s="54"/>
    </row>
    <row r="428" spans="1:23" s="3" customFormat="1" ht="25.5" hidden="1">
      <c r="A428" s="9"/>
      <c r="B428" s="9"/>
      <c r="C428" s="9"/>
      <c r="D428" s="70" t="s">
        <v>203</v>
      </c>
      <c r="E428" s="27">
        <f aca="true" t="shared" si="60" ref="E428:E433">F428+I428</f>
        <v>0</v>
      </c>
      <c r="F428" s="27"/>
      <c r="G428" s="27"/>
      <c r="H428" s="27"/>
      <c r="I428" s="27"/>
      <c r="J428" s="27"/>
      <c r="K428" s="27"/>
      <c r="L428" s="27"/>
      <c r="M428" s="27"/>
      <c r="N428" s="27"/>
      <c r="O428" s="27"/>
      <c r="P428" s="26">
        <f t="shared" si="57"/>
        <v>0</v>
      </c>
      <c r="Q428" s="54"/>
      <c r="W428" s="54"/>
    </row>
    <row r="429" spans="1:23" s="3" customFormat="1" ht="25.5" hidden="1">
      <c r="A429" s="9"/>
      <c r="B429" s="9"/>
      <c r="C429" s="9"/>
      <c r="D429" s="4" t="s">
        <v>202</v>
      </c>
      <c r="E429" s="27">
        <f t="shared" si="60"/>
        <v>99550</v>
      </c>
      <c r="F429" s="27">
        <v>99550</v>
      </c>
      <c r="G429" s="27"/>
      <c r="H429" s="27"/>
      <c r="I429" s="27"/>
      <c r="J429" s="27"/>
      <c r="K429" s="27"/>
      <c r="L429" s="27"/>
      <c r="M429" s="27"/>
      <c r="N429" s="27"/>
      <c r="O429" s="27"/>
      <c r="P429" s="26">
        <f t="shared" si="57"/>
        <v>99550</v>
      </c>
      <c r="Q429" s="54"/>
      <c r="W429" s="54"/>
    </row>
    <row r="430" spans="1:23" s="3" customFormat="1" ht="25.5" hidden="1">
      <c r="A430" s="9"/>
      <c r="B430" s="9"/>
      <c r="C430" s="9"/>
      <c r="D430" s="4" t="s">
        <v>102</v>
      </c>
      <c r="E430" s="27">
        <f t="shared" si="60"/>
        <v>0</v>
      </c>
      <c r="F430" s="27"/>
      <c r="G430" s="27"/>
      <c r="H430" s="27"/>
      <c r="I430" s="27"/>
      <c r="J430" s="27"/>
      <c r="K430" s="27"/>
      <c r="L430" s="27"/>
      <c r="M430" s="27"/>
      <c r="N430" s="27"/>
      <c r="O430" s="27"/>
      <c r="P430" s="26">
        <f t="shared" si="57"/>
        <v>0</v>
      </c>
      <c r="Q430" s="54"/>
      <c r="W430" s="54"/>
    </row>
    <row r="431" spans="1:23" s="3" customFormat="1" ht="51" hidden="1">
      <c r="A431" s="9"/>
      <c r="B431" s="9"/>
      <c r="C431" s="9"/>
      <c r="D431" s="4" t="s">
        <v>219</v>
      </c>
      <c r="E431" s="27">
        <f t="shared" si="60"/>
        <v>12719</v>
      </c>
      <c r="F431" s="27">
        <f>499+12220</f>
        <v>12719</v>
      </c>
      <c r="G431" s="27"/>
      <c r="H431" s="27"/>
      <c r="I431" s="27"/>
      <c r="J431" s="27"/>
      <c r="K431" s="27"/>
      <c r="L431" s="27"/>
      <c r="M431" s="27"/>
      <c r="N431" s="27"/>
      <c r="O431" s="27"/>
      <c r="P431" s="26">
        <f t="shared" si="57"/>
        <v>12719</v>
      </c>
      <c r="Q431" s="54"/>
      <c r="W431" s="54"/>
    </row>
    <row r="432" spans="1:23" s="3" customFormat="1" ht="12.75" hidden="1">
      <c r="A432" s="9"/>
      <c r="B432" s="9"/>
      <c r="C432" s="9"/>
      <c r="D432" s="4" t="s">
        <v>442</v>
      </c>
      <c r="E432" s="27">
        <f t="shared" si="60"/>
        <v>67550</v>
      </c>
      <c r="F432" s="27">
        <f>43761+23789</f>
        <v>67550</v>
      </c>
      <c r="G432" s="27"/>
      <c r="H432" s="27"/>
      <c r="I432" s="27"/>
      <c r="J432" s="27"/>
      <c r="K432" s="27"/>
      <c r="L432" s="27"/>
      <c r="M432" s="27"/>
      <c r="N432" s="27"/>
      <c r="O432" s="27"/>
      <c r="P432" s="26">
        <f t="shared" si="57"/>
        <v>67550</v>
      </c>
      <c r="Q432" s="54"/>
      <c r="W432" s="54"/>
    </row>
    <row r="433" spans="1:23" s="3" customFormat="1" ht="24" hidden="1">
      <c r="A433" s="9"/>
      <c r="B433" s="9"/>
      <c r="C433" s="9"/>
      <c r="D433" s="39" t="s">
        <v>96</v>
      </c>
      <c r="E433" s="27">
        <f t="shared" si="60"/>
        <v>478</v>
      </c>
      <c r="F433" s="27">
        <v>478</v>
      </c>
      <c r="G433" s="27"/>
      <c r="H433" s="27"/>
      <c r="I433" s="27"/>
      <c r="J433" s="27"/>
      <c r="K433" s="27"/>
      <c r="L433" s="27"/>
      <c r="M433" s="27"/>
      <c r="N433" s="27"/>
      <c r="O433" s="27"/>
      <c r="P433" s="26">
        <f t="shared" si="57"/>
        <v>478</v>
      </c>
      <c r="Q433" s="54"/>
      <c r="W433" s="54"/>
    </row>
    <row r="434" spans="1:45" s="19" customFormat="1" ht="34.5" customHeight="1">
      <c r="A434" s="21"/>
      <c r="B434" s="21" t="s">
        <v>155</v>
      </c>
      <c r="C434" s="21"/>
      <c r="D434" s="20" t="s">
        <v>130</v>
      </c>
      <c r="E434" s="32">
        <f>E435+E437+E443+E445+E441</f>
        <v>4940994</v>
      </c>
      <c r="F434" s="32">
        <f>F435+F437+F443+F445+F441</f>
        <v>4940994</v>
      </c>
      <c r="G434" s="32">
        <f aca="true" t="shared" si="61" ref="G434:M434">G435+G437+G443+G445</f>
        <v>2648653</v>
      </c>
      <c r="H434" s="32">
        <f t="shared" si="61"/>
        <v>256684</v>
      </c>
      <c r="I434" s="32"/>
      <c r="J434" s="32">
        <f>K434+N434</f>
        <v>499551</v>
      </c>
      <c r="K434" s="32">
        <f>K435+K437+K443+K445</f>
        <v>61285</v>
      </c>
      <c r="L434" s="32">
        <f t="shared" si="61"/>
        <v>0</v>
      </c>
      <c r="M434" s="32">
        <f t="shared" si="61"/>
        <v>0</v>
      </c>
      <c r="N434" s="32">
        <f>N435+N437+N443+N445+N439</f>
        <v>438266</v>
      </c>
      <c r="O434" s="32">
        <f>O435+O437+O443+O445+O439</f>
        <v>438266</v>
      </c>
      <c r="P434" s="32">
        <f t="shared" si="57"/>
        <v>5440545</v>
      </c>
      <c r="Q434" s="54"/>
      <c r="R434" s="22"/>
      <c r="S434" s="22"/>
      <c r="T434" s="22"/>
      <c r="U434" s="22"/>
      <c r="V434" s="22"/>
      <c r="W434" s="54"/>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row>
    <row r="435" spans="1:45" s="3" customFormat="1" ht="12.75">
      <c r="A435" s="35"/>
      <c r="B435" s="35" t="s">
        <v>363</v>
      </c>
      <c r="C435" s="35"/>
      <c r="D435" s="12" t="s">
        <v>364</v>
      </c>
      <c r="E435" s="28">
        <f>E436</f>
        <v>4312864</v>
      </c>
      <c r="F435" s="28">
        <f>F436</f>
        <v>4312864</v>
      </c>
      <c r="G435" s="28">
        <f>G436</f>
        <v>2648653</v>
      </c>
      <c r="H435" s="28">
        <f>H436</f>
        <v>256684</v>
      </c>
      <c r="I435" s="28"/>
      <c r="J435" s="28">
        <f>K435+N435</f>
        <v>0</v>
      </c>
      <c r="K435" s="28">
        <f>K436</f>
        <v>0</v>
      </c>
      <c r="L435" s="28">
        <f>L436</f>
        <v>0</v>
      </c>
      <c r="M435" s="28">
        <f>M436</f>
        <v>0</v>
      </c>
      <c r="N435" s="28">
        <f>N436</f>
        <v>0</v>
      </c>
      <c r="O435" s="28">
        <f>O436</f>
        <v>0</v>
      </c>
      <c r="P435" s="28">
        <f t="shared" si="57"/>
        <v>4312864</v>
      </c>
      <c r="Q435" s="54"/>
      <c r="R435" s="13"/>
      <c r="S435" s="13"/>
      <c r="T435" s="13"/>
      <c r="U435" s="13"/>
      <c r="V435" s="13"/>
      <c r="W435" s="54"/>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row>
    <row r="436" spans="1:45" s="5" customFormat="1" ht="12.75">
      <c r="A436" s="17"/>
      <c r="B436" s="17" t="s">
        <v>248</v>
      </c>
      <c r="C436" s="16" t="s">
        <v>4</v>
      </c>
      <c r="D436" s="2" t="s">
        <v>249</v>
      </c>
      <c r="E436" s="28">
        <f>F436+I436</f>
        <v>4312864</v>
      </c>
      <c r="F436" s="28">
        <f>4199181+56419+57264</f>
        <v>4312864</v>
      </c>
      <c r="G436" s="28">
        <f>2607567+41086</f>
        <v>2648653</v>
      </c>
      <c r="H436" s="28">
        <v>256684</v>
      </c>
      <c r="I436" s="28"/>
      <c r="J436" s="28">
        <f>K436+N436</f>
        <v>0</v>
      </c>
      <c r="K436" s="28"/>
      <c r="L436" s="28"/>
      <c r="M436" s="28"/>
      <c r="N436" s="28">
        <f>O436</f>
        <v>0</v>
      </c>
      <c r="O436" s="28"/>
      <c r="P436" s="28">
        <f t="shared" si="57"/>
        <v>4312864</v>
      </c>
      <c r="Q436" s="54"/>
      <c r="R436" s="11"/>
      <c r="S436" s="11"/>
      <c r="T436" s="11"/>
      <c r="U436" s="11"/>
      <c r="V436" s="11"/>
      <c r="W436" s="54"/>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row>
    <row r="437" spans="1:23" s="3" customFormat="1" ht="12.75">
      <c r="A437" s="9"/>
      <c r="B437" s="9" t="s">
        <v>375</v>
      </c>
      <c r="C437" s="9"/>
      <c r="D437" s="4" t="s">
        <v>376</v>
      </c>
      <c r="E437" s="27">
        <f>E438</f>
        <v>498699</v>
      </c>
      <c r="F437" s="27">
        <f>F438</f>
        <v>498699</v>
      </c>
      <c r="G437" s="27">
        <f aca="true" t="shared" si="62" ref="G437:O437">G438</f>
        <v>0</v>
      </c>
      <c r="H437" s="27">
        <f t="shared" si="62"/>
        <v>0</v>
      </c>
      <c r="I437" s="27"/>
      <c r="J437" s="27">
        <f t="shared" si="62"/>
        <v>52605</v>
      </c>
      <c r="K437" s="27">
        <f t="shared" si="62"/>
        <v>52605</v>
      </c>
      <c r="L437" s="27">
        <f t="shared" si="62"/>
        <v>0</v>
      </c>
      <c r="M437" s="27">
        <f t="shared" si="62"/>
        <v>0</v>
      </c>
      <c r="N437" s="27">
        <f t="shared" si="62"/>
        <v>0</v>
      </c>
      <c r="O437" s="27">
        <f t="shared" si="62"/>
        <v>0</v>
      </c>
      <c r="P437" s="28">
        <f t="shared" si="57"/>
        <v>551304</v>
      </c>
      <c r="Q437" s="54"/>
      <c r="W437" s="54"/>
    </row>
    <row r="438" spans="1:23" s="3" customFormat="1" ht="12.75">
      <c r="A438" s="9"/>
      <c r="B438" s="9" t="s">
        <v>93</v>
      </c>
      <c r="C438" s="9" t="s">
        <v>37</v>
      </c>
      <c r="D438" s="4" t="s">
        <v>97</v>
      </c>
      <c r="E438" s="27">
        <f>F438+I438</f>
        <v>498699</v>
      </c>
      <c r="F438" s="27">
        <f>9434+465315+23950</f>
        <v>498699</v>
      </c>
      <c r="G438" s="27"/>
      <c r="H438" s="27"/>
      <c r="I438" s="27"/>
      <c r="J438" s="27">
        <f>K438+N438</f>
        <v>52605</v>
      </c>
      <c r="K438" s="27">
        <v>52605</v>
      </c>
      <c r="L438" s="27"/>
      <c r="M438" s="27"/>
      <c r="N438" s="27">
        <f>O438</f>
        <v>0</v>
      </c>
      <c r="O438" s="27"/>
      <c r="P438" s="28">
        <f t="shared" si="57"/>
        <v>551304</v>
      </c>
      <c r="Q438" s="54"/>
      <c r="W438" s="54"/>
    </row>
    <row r="439" spans="1:23" s="3" customFormat="1" ht="12.75">
      <c r="A439" s="40"/>
      <c r="B439" s="40" t="s">
        <v>367</v>
      </c>
      <c r="C439" s="40"/>
      <c r="D439" s="59" t="s">
        <v>282</v>
      </c>
      <c r="E439" s="27"/>
      <c r="F439" s="27"/>
      <c r="G439" s="27"/>
      <c r="H439" s="27"/>
      <c r="I439" s="27"/>
      <c r="J439" s="27">
        <f>K439+N439</f>
        <v>438266</v>
      </c>
      <c r="K439" s="27"/>
      <c r="L439" s="27"/>
      <c r="M439" s="27"/>
      <c r="N439" s="27">
        <f>N440</f>
        <v>438266</v>
      </c>
      <c r="O439" s="27">
        <f>O440</f>
        <v>438266</v>
      </c>
      <c r="P439" s="28">
        <f t="shared" si="57"/>
        <v>438266</v>
      </c>
      <c r="Q439" s="54"/>
      <c r="W439" s="54"/>
    </row>
    <row r="440" spans="1:23" s="3" customFormat="1" ht="12.75">
      <c r="A440" s="40"/>
      <c r="B440" s="40" t="s">
        <v>338</v>
      </c>
      <c r="C440" s="76" t="s">
        <v>6</v>
      </c>
      <c r="D440" s="36" t="s">
        <v>339</v>
      </c>
      <c r="E440" s="27"/>
      <c r="F440" s="27"/>
      <c r="G440" s="27"/>
      <c r="H440" s="27"/>
      <c r="I440" s="27"/>
      <c r="J440" s="27">
        <f>K440+N440</f>
        <v>438266</v>
      </c>
      <c r="K440" s="27"/>
      <c r="L440" s="27"/>
      <c r="M440" s="27"/>
      <c r="N440" s="27">
        <f>O440</f>
        <v>438266</v>
      </c>
      <c r="O440" s="27">
        <f>438266</f>
        <v>438266</v>
      </c>
      <c r="P440" s="28">
        <f t="shared" si="57"/>
        <v>438266</v>
      </c>
      <c r="Q440" s="54"/>
      <c r="W440" s="54"/>
    </row>
    <row r="441" spans="1:23" s="3" customFormat="1" ht="38.25" hidden="1">
      <c r="A441" s="40"/>
      <c r="B441" s="40">
        <v>210000</v>
      </c>
      <c r="C441" s="40"/>
      <c r="D441" s="61" t="s">
        <v>351</v>
      </c>
      <c r="E441" s="27">
        <f>E442</f>
        <v>0</v>
      </c>
      <c r="F441" s="27">
        <f>F442</f>
        <v>0</v>
      </c>
      <c r="G441" s="27"/>
      <c r="H441" s="27"/>
      <c r="I441" s="27"/>
      <c r="J441" s="27"/>
      <c r="K441" s="27"/>
      <c r="L441" s="27"/>
      <c r="M441" s="27"/>
      <c r="N441" s="27"/>
      <c r="O441" s="27"/>
      <c r="P441" s="28">
        <f t="shared" si="57"/>
        <v>0</v>
      </c>
      <c r="Q441" s="54"/>
      <c r="W441" s="54"/>
    </row>
    <row r="442" spans="1:23" s="3" customFormat="1" ht="38.25" hidden="1">
      <c r="A442" s="40"/>
      <c r="B442" s="40" t="s">
        <v>284</v>
      </c>
      <c r="C442" s="40"/>
      <c r="D442" s="75" t="s">
        <v>240</v>
      </c>
      <c r="E442" s="27">
        <f>F442+I442</f>
        <v>0</v>
      </c>
      <c r="F442" s="27"/>
      <c r="G442" s="27"/>
      <c r="H442" s="27"/>
      <c r="I442" s="27"/>
      <c r="J442" s="27"/>
      <c r="K442" s="27"/>
      <c r="L442" s="27"/>
      <c r="M442" s="27"/>
      <c r="N442" s="27"/>
      <c r="O442" s="27"/>
      <c r="P442" s="28">
        <f t="shared" si="57"/>
        <v>0</v>
      </c>
      <c r="Q442" s="54"/>
      <c r="W442" s="54"/>
    </row>
    <row r="443" spans="1:23" s="3" customFormat="1" ht="13.5" customHeight="1">
      <c r="A443" s="9"/>
      <c r="B443" s="9" t="s">
        <v>370</v>
      </c>
      <c r="C443" s="9"/>
      <c r="D443" s="4" t="s">
        <v>374</v>
      </c>
      <c r="E443" s="27">
        <f>E444</f>
        <v>0</v>
      </c>
      <c r="F443" s="27"/>
      <c r="G443" s="27">
        <f aca="true" t="shared" si="63" ref="G443:O443">G444</f>
        <v>0</v>
      </c>
      <c r="H443" s="27">
        <f t="shared" si="63"/>
        <v>0</v>
      </c>
      <c r="I443" s="27"/>
      <c r="J443" s="27">
        <f>K443+N443</f>
        <v>8680</v>
      </c>
      <c r="K443" s="27">
        <f t="shared" si="63"/>
        <v>8680</v>
      </c>
      <c r="L443" s="27">
        <f t="shared" si="63"/>
        <v>0</v>
      </c>
      <c r="M443" s="27">
        <f t="shared" si="63"/>
        <v>0</v>
      </c>
      <c r="N443" s="27">
        <f t="shared" si="63"/>
        <v>0</v>
      </c>
      <c r="O443" s="27">
        <f t="shared" si="63"/>
        <v>0</v>
      </c>
      <c r="P443" s="28">
        <f t="shared" si="57"/>
        <v>8680</v>
      </c>
      <c r="Q443" s="54"/>
      <c r="W443" s="54"/>
    </row>
    <row r="444" spans="1:23" s="3" customFormat="1" ht="76.5" customHeight="1">
      <c r="A444" s="9"/>
      <c r="B444" s="9" t="s">
        <v>286</v>
      </c>
      <c r="C444" s="9" t="s">
        <v>7</v>
      </c>
      <c r="D444" s="75" t="s">
        <v>100</v>
      </c>
      <c r="E444" s="27"/>
      <c r="F444" s="27"/>
      <c r="G444" s="27"/>
      <c r="H444" s="27"/>
      <c r="I444" s="27"/>
      <c r="J444" s="27">
        <f>K444+N444</f>
        <v>8680</v>
      </c>
      <c r="K444" s="27">
        <v>8680</v>
      </c>
      <c r="L444" s="27"/>
      <c r="M444" s="27"/>
      <c r="N444" s="27"/>
      <c r="O444" s="27"/>
      <c r="P444" s="28">
        <f t="shared" si="57"/>
        <v>8680</v>
      </c>
      <c r="Q444" s="54"/>
      <c r="W444" s="54"/>
    </row>
    <row r="445" spans="1:23" s="3" customFormat="1" ht="24.75" customHeight="1">
      <c r="A445" s="9"/>
      <c r="B445" s="9" t="s">
        <v>372</v>
      </c>
      <c r="C445" s="9"/>
      <c r="D445" s="61" t="s">
        <v>373</v>
      </c>
      <c r="E445" s="27">
        <f>E446</f>
        <v>129431</v>
      </c>
      <c r="F445" s="27">
        <f>F446</f>
        <v>129431</v>
      </c>
      <c r="G445" s="27">
        <f aca="true" t="shared" si="64" ref="G445:O445">G446</f>
        <v>0</v>
      </c>
      <c r="H445" s="27">
        <f t="shared" si="64"/>
        <v>0</v>
      </c>
      <c r="I445" s="27"/>
      <c r="J445" s="27">
        <f t="shared" si="64"/>
        <v>0</v>
      </c>
      <c r="K445" s="27">
        <f t="shared" si="64"/>
        <v>0</v>
      </c>
      <c r="L445" s="27">
        <f t="shared" si="64"/>
        <v>0</v>
      </c>
      <c r="M445" s="27">
        <f t="shared" si="64"/>
        <v>0</v>
      </c>
      <c r="N445" s="27">
        <f t="shared" si="64"/>
        <v>0</v>
      </c>
      <c r="O445" s="27">
        <f t="shared" si="64"/>
        <v>0</v>
      </c>
      <c r="P445" s="28">
        <f t="shared" si="57"/>
        <v>129431</v>
      </c>
      <c r="Q445" s="54"/>
      <c r="W445" s="54"/>
    </row>
    <row r="446" spans="1:23" s="3" customFormat="1" ht="12.75" customHeight="1">
      <c r="A446" s="9"/>
      <c r="B446" s="9" t="s">
        <v>287</v>
      </c>
      <c r="C446" s="9" t="s">
        <v>7</v>
      </c>
      <c r="D446" s="4" t="s">
        <v>316</v>
      </c>
      <c r="E446" s="27">
        <f>SUM(E447:E453)</f>
        <v>129431</v>
      </c>
      <c r="F446" s="27">
        <f>SUM(F447:F453)</f>
        <v>129431</v>
      </c>
      <c r="G446" s="27"/>
      <c r="H446" s="27"/>
      <c r="I446" s="27"/>
      <c r="J446" s="27"/>
      <c r="K446" s="27"/>
      <c r="L446" s="27"/>
      <c r="M446" s="27"/>
      <c r="N446" s="27"/>
      <c r="O446" s="27"/>
      <c r="P446" s="28">
        <f t="shared" si="57"/>
        <v>129431</v>
      </c>
      <c r="Q446" s="54"/>
      <c r="W446" s="54"/>
    </row>
    <row r="447" spans="1:23" s="3" customFormat="1" ht="38.25" hidden="1">
      <c r="A447" s="9"/>
      <c r="B447" s="9"/>
      <c r="C447" s="9"/>
      <c r="D447" s="4" t="s">
        <v>179</v>
      </c>
      <c r="E447" s="27">
        <f>F447+I447</f>
        <v>14160</v>
      </c>
      <c r="F447" s="27">
        <v>14160</v>
      </c>
      <c r="G447" s="27"/>
      <c r="H447" s="27"/>
      <c r="I447" s="27"/>
      <c r="J447" s="27"/>
      <c r="K447" s="27"/>
      <c r="L447" s="27"/>
      <c r="M447" s="27"/>
      <c r="N447" s="27"/>
      <c r="O447" s="27"/>
      <c r="P447" s="28">
        <f t="shared" si="57"/>
        <v>14160</v>
      </c>
      <c r="Q447" s="54"/>
      <c r="W447" s="54"/>
    </row>
    <row r="448" spans="1:23" s="3" customFormat="1" ht="25.5" hidden="1">
      <c r="A448" s="9"/>
      <c r="B448" s="9"/>
      <c r="C448" s="9"/>
      <c r="D448" s="4" t="s">
        <v>202</v>
      </c>
      <c r="E448" s="27">
        <f aca="true" t="shared" si="65" ref="E448:E454">F448+I448</f>
        <v>31950</v>
      </c>
      <c r="F448" s="27">
        <v>31950</v>
      </c>
      <c r="G448" s="27"/>
      <c r="H448" s="27"/>
      <c r="I448" s="27"/>
      <c r="J448" s="27"/>
      <c r="K448" s="27"/>
      <c r="L448" s="27"/>
      <c r="M448" s="27"/>
      <c r="N448" s="27"/>
      <c r="O448" s="27"/>
      <c r="P448" s="28">
        <f t="shared" si="57"/>
        <v>31950</v>
      </c>
      <c r="Q448" s="54"/>
      <c r="W448" s="54"/>
    </row>
    <row r="449" spans="1:23" s="3" customFormat="1" ht="25.5" hidden="1">
      <c r="A449" s="9"/>
      <c r="B449" s="9"/>
      <c r="C449" s="9"/>
      <c r="D449" s="70" t="s">
        <v>203</v>
      </c>
      <c r="E449" s="27">
        <f t="shared" si="65"/>
        <v>0</v>
      </c>
      <c r="F449" s="27"/>
      <c r="G449" s="27"/>
      <c r="H449" s="27"/>
      <c r="I449" s="27"/>
      <c r="J449" s="27"/>
      <c r="K449" s="27"/>
      <c r="L449" s="27"/>
      <c r="M449" s="27"/>
      <c r="N449" s="27"/>
      <c r="O449" s="27"/>
      <c r="P449" s="28">
        <f t="shared" si="57"/>
        <v>0</v>
      </c>
      <c r="Q449" s="54"/>
      <c r="W449" s="54"/>
    </row>
    <row r="450" spans="1:23" s="3" customFormat="1" ht="25.5" hidden="1">
      <c r="A450" s="9"/>
      <c r="B450" s="9"/>
      <c r="C450" s="9"/>
      <c r="D450" s="4" t="s">
        <v>102</v>
      </c>
      <c r="E450" s="27">
        <f t="shared" si="65"/>
        <v>1621</v>
      </c>
      <c r="F450" s="27">
        <v>1621</v>
      </c>
      <c r="G450" s="27"/>
      <c r="H450" s="27"/>
      <c r="I450" s="27"/>
      <c r="J450" s="27"/>
      <c r="K450" s="27"/>
      <c r="L450" s="27"/>
      <c r="M450" s="27"/>
      <c r="N450" s="27"/>
      <c r="O450" s="27"/>
      <c r="P450" s="28">
        <f t="shared" si="57"/>
        <v>1621</v>
      </c>
      <c r="Q450" s="54"/>
      <c r="W450" s="54"/>
    </row>
    <row r="451" spans="1:23" s="3" customFormat="1" ht="51" hidden="1">
      <c r="A451" s="9"/>
      <c r="B451" s="9"/>
      <c r="C451" s="9"/>
      <c r="D451" s="4" t="s">
        <v>219</v>
      </c>
      <c r="E451" s="27">
        <f t="shared" si="65"/>
        <v>13470</v>
      </c>
      <c r="F451" s="27">
        <v>13470</v>
      </c>
      <c r="G451" s="27"/>
      <c r="H451" s="27"/>
      <c r="I451" s="27"/>
      <c r="J451" s="27"/>
      <c r="K451" s="27"/>
      <c r="L451" s="27"/>
      <c r="M451" s="27"/>
      <c r="N451" s="27"/>
      <c r="O451" s="27"/>
      <c r="P451" s="28">
        <f t="shared" si="57"/>
        <v>13470</v>
      </c>
      <c r="Q451" s="54"/>
      <c r="W451" s="54"/>
    </row>
    <row r="452" spans="1:23" s="3" customFormat="1" ht="51" hidden="1">
      <c r="A452" s="9"/>
      <c r="B452" s="9"/>
      <c r="C452" s="9"/>
      <c r="D452" s="4" t="s">
        <v>183</v>
      </c>
      <c r="E452" s="27">
        <f t="shared" si="65"/>
        <v>0</v>
      </c>
      <c r="F452" s="27"/>
      <c r="G452" s="27"/>
      <c r="H452" s="27"/>
      <c r="I452" s="27"/>
      <c r="J452" s="27"/>
      <c r="K452" s="27"/>
      <c r="L452" s="27"/>
      <c r="M452" s="27"/>
      <c r="N452" s="27"/>
      <c r="O452" s="27"/>
      <c r="P452" s="28">
        <f t="shared" si="57"/>
        <v>0</v>
      </c>
      <c r="Q452" s="54"/>
      <c r="W452" s="54"/>
    </row>
    <row r="453" spans="1:23" s="3" customFormat="1" ht="12.75" hidden="1">
      <c r="A453" s="9"/>
      <c r="B453" s="9"/>
      <c r="C453" s="9"/>
      <c r="D453" s="4" t="s">
        <v>442</v>
      </c>
      <c r="E453" s="27">
        <f t="shared" si="65"/>
        <v>68230</v>
      </c>
      <c r="F453" s="27">
        <f>44441+23789</f>
        <v>68230</v>
      </c>
      <c r="G453" s="27"/>
      <c r="H453" s="27"/>
      <c r="I453" s="27"/>
      <c r="J453" s="27"/>
      <c r="K453" s="27"/>
      <c r="L453" s="27"/>
      <c r="M453" s="27"/>
      <c r="N453" s="27"/>
      <c r="O453" s="27"/>
      <c r="P453" s="28">
        <f t="shared" si="57"/>
        <v>68230</v>
      </c>
      <c r="Q453" s="54"/>
      <c r="W453" s="54"/>
    </row>
    <row r="454" spans="1:23" s="3" customFormat="1" ht="24" hidden="1">
      <c r="A454" s="9"/>
      <c r="B454" s="9"/>
      <c r="C454" s="9"/>
      <c r="D454" s="39" t="s">
        <v>96</v>
      </c>
      <c r="E454" s="27">
        <f t="shared" si="65"/>
        <v>0</v>
      </c>
      <c r="F454" s="27"/>
      <c r="G454" s="27"/>
      <c r="H454" s="27"/>
      <c r="I454" s="27"/>
      <c r="J454" s="27"/>
      <c r="K454" s="27"/>
      <c r="L454" s="27"/>
      <c r="M454" s="27"/>
      <c r="N454" s="27"/>
      <c r="O454" s="27"/>
      <c r="P454" s="28">
        <f t="shared" si="57"/>
        <v>0</v>
      </c>
      <c r="Q454" s="54"/>
      <c r="W454" s="54"/>
    </row>
    <row r="455" spans="1:23" s="55" customFormat="1" ht="38.25">
      <c r="A455" s="100"/>
      <c r="B455" s="100" t="s">
        <v>156</v>
      </c>
      <c r="C455" s="100"/>
      <c r="D455" s="20" t="s">
        <v>131</v>
      </c>
      <c r="E455" s="53">
        <f>E456+E458+E464+E466+E462</f>
        <v>5780052</v>
      </c>
      <c r="F455" s="53">
        <f>F456+F458+F464+F466+F462</f>
        <v>5780052</v>
      </c>
      <c r="G455" s="53">
        <f aca="true" t="shared" si="66" ref="G455:M455">G456+G458+G464+G466</f>
        <v>2529274</v>
      </c>
      <c r="H455" s="53">
        <f t="shared" si="66"/>
        <v>508986</v>
      </c>
      <c r="I455" s="53"/>
      <c r="J455" s="53">
        <f aca="true" t="shared" si="67" ref="J455:J461">K455+N455</f>
        <v>5849779</v>
      </c>
      <c r="K455" s="53">
        <f>K456+K458+K464+K466</f>
        <v>180706</v>
      </c>
      <c r="L455" s="53">
        <f t="shared" si="66"/>
        <v>0</v>
      </c>
      <c r="M455" s="53">
        <f t="shared" si="66"/>
        <v>0</v>
      </c>
      <c r="N455" s="53">
        <f>N456+N458+N464+N466+N460</f>
        <v>5669073</v>
      </c>
      <c r="O455" s="53">
        <f>O456+O458+O464+O466+O460</f>
        <v>5669073</v>
      </c>
      <c r="P455" s="53">
        <f t="shared" si="57"/>
        <v>11629831</v>
      </c>
      <c r="Q455" s="54"/>
      <c r="W455" s="54"/>
    </row>
    <row r="456" spans="1:23" s="58" customFormat="1" ht="12.75">
      <c r="A456" s="43"/>
      <c r="B456" s="43" t="s">
        <v>363</v>
      </c>
      <c r="C456" s="43"/>
      <c r="D456" s="44" t="s">
        <v>364</v>
      </c>
      <c r="E456" s="45">
        <f>E457</f>
        <v>4375640</v>
      </c>
      <c r="F456" s="45">
        <f>F457</f>
        <v>4375640</v>
      </c>
      <c r="G456" s="45">
        <f>G457</f>
        <v>2529274</v>
      </c>
      <c r="H456" s="45">
        <f>H457</f>
        <v>508986</v>
      </c>
      <c r="I456" s="45"/>
      <c r="J456" s="45">
        <f t="shared" si="67"/>
        <v>128969</v>
      </c>
      <c r="K456" s="45">
        <f>K457</f>
        <v>22672</v>
      </c>
      <c r="L456" s="45">
        <f>L457</f>
        <v>0</v>
      </c>
      <c r="M456" s="45">
        <f>M457</f>
        <v>0</v>
      </c>
      <c r="N456" s="45">
        <f>N457</f>
        <v>106297</v>
      </c>
      <c r="O456" s="45">
        <f>O457</f>
        <v>106297</v>
      </c>
      <c r="P456" s="45">
        <f t="shared" si="57"/>
        <v>4504609</v>
      </c>
      <c r="Q456" s="54"/>
      <c r="W456" s="54"/>
    </row>
    <row r="457" spans="1:23" s="58" customFormat="1" ht="12.75">
      <c r="A457" s="69"/>
      <c r="B457" s="69" t="s">
        <v>248</v>
      </c>
      <c r="C457" s="88" t="s">
        <v>4</v>
      </c>
      <c r="D457" s="44" t="s">
        <v>249</v>
      </c>
      <c r="E457" s="45">
        <f>F457+I457</f>
        <v>4375640</v>
      </c>
      <c r="F457" s="45">
        <f>4332067+43573</f>
        <v>4375640</v>
      </c>
      <c r="G457" s="45">
        <f>2497305+31969</f>
        <v>2529274</v>
      </c>
      <c r="H457" s="45">
        <v>508986</v>
      </c>
      <c r="I457" s="45"/>
      <c r="J457" s="45">
        <f t="shared" si="67"/>
        <v>128969</v>
      </c>
      <c r="K457" s="45">
        <v>22672</v>
      </c>
      <c r="L457" s="45"/>
      <c r="M457" s="45"/>
      <c r="N457" s="45">
        <f>O457</f>
        <v>106297</v>
      </c>
      <c r="O457" s="45">
        <v>106297</v>
      </c>
      <c r="P457" s="45">
        <f t="shared" si="57"/>
        <v>4504609</v>
      </c>
      <c r="Q457" s="54"/>
      <c r="W457" s="54"/>
    </row>
    <row r="458" spans="1:23" s="3" customFormat="1" ht="12.75">
      <c r="A458" s="9"/>
      <c r="B458" s="9" t="s">
        <v>375</v>
      </c>
      <c r="C458" s="9"/>
      <c r="D458" s="4" t="s">
        <v>376</v>
      </c>
      <c r="E458" s="27">
        <f>E459</f>
        <v>1101502</v>
      </c>
      <c r="F458" s="27">
        <f>F459</f>
        <v>1101502</v>
      </c>
      <c r="G458" s="27">
        <f aca="true" t="shared" si="68" ref="G458:O458">G459</f>
        <v>0</v>
      </c>
      <c r="H458" s="27">
        <f t="shared" si="68"/>
        <v>0</v>
      </c>
      <c r="I458" s="27"/>
      <c r="J458" s="45">
        <f t="shared" si="67"/>
        <v>158034</v>
      </c>
      <c r="K458" s="27">
        <f t="shared" si="68"/>
        <v>158034</v>
      </c>
      <c r="L458" s="27">
        <f t="shared" si="68"/>
        <v>0</v>
      </c>
      <c r="M458" s="27">
        <f t="shared" si="68"/>
        <v>0</v>
      </c>
      <c r="N458" s="27">
        <f t="shared" si="68"/>
        <v>0</v>
      </c>
      <c r="O458" s="27">
        <f t="shared" si="68"/>
        <v>0</v>
      </c>
      <c r="P458" s="45">
        <f t="shared" si="57"/>
        <v>1259536</v>
      </c>
      <c r="Q458" s="54"/>
      <c r="W458" s="54"/>
    </row>
    <row r="459" spans="1:23" s="3" customFormat="1" ht="12.75">
      <c r="A459" s="9"/>
      <c r="B459" s="9" t="s">
        <v>93</v>
      </c>
      <c r="C459" s="9" t="s">
        <v>37</v>
      </c>
      <c r="D459" s="4" t="s">
        <v>97</v>
      </c>
      <c r="E459" s="27">
        <f>F459+I459</f>
        <v>1101502</v>
      </c>
      <c r="F459" s="27">
        <f>354602+746900</f>
        <v>1101502</v>
      </c>
      <c r="G459" s="27"/>
      <c r="H459" s="27"/>
      <c r="I459" s="27"/>
      <c r="J459" s="45">
        <f t="shared" si="67"/>
        <v>158034</v>
      </c>
      <c r="K459" s="27">
        <v>158034</v>
      </c>
      <c r="L459" s="27"/>
      <c r="M459" s="27"/>
      <c r="N459" s="27">
        <f>O459</f>
        <v>0</v>
      </c>
      <c r="O459" s="27"/>
      <c r="P459" s="45">
        <f t="shared" si="57"/>
        <v>1259536</v>
      </c>
      <c r="Q459" s="54"/>
      <c r="W459" s="54"/>
    </row>
    <row r="460" spans="1:23" s="3" customFormat="1" ht="12.75">
      <c r="A460" s="40"/>
      <c r="B460" s="40" t="s">
        <v>367</v>
      </c>
      <c r="C460" s="40"/>
      <c r="D460" s="61" t="s">
        <v>282</v>
      </c>
      <c r="E460" s="38"/>
      <c r="F460" s="38"/>
      <c r="G460" s="38"/>
      <c r="H460" s="38"/>
      <c r="I460" s="38"/>
      <c r="J460" s="38">
        <f t="shared" si="67"/>
        <v>5562776</v>
      </c>
      <c r="K460" s="38"/>
      <c r="L460" s="38"/>
      <c r="M460" s="38"/>
      <c r="N460" s="38">
        <f>N461</f>
        <v>5562776</v>
      </c>
      <c r="O460" s="38">
        <f>O461</f>
        <v>5562776</v>
      </c>
      <c r="P460" s="56">
        <f t="shared" si="57"/>
        <v>5562776</v>
      </c>
      <c r="Q460" s="54"/>
      <c r="W460" s="54"/>
    </row>
    <row r="461" spans="1:23" s="3" customFormat="1" ht="12.75">
      <c r="A461" s="40"/>
      <c r="B461" s="40" t="s">
        <v>338</v>
      </c>
      <c r="C461" s="76" t="s">
        <v>6</v>
      </c>
      <c r="D461" s="59" t="s">
        <v>339</v>
      </c>
      <c r="E461" s="38"/>
      <c r="F461" s="38"/>
      <c r="G461" s="38"/>
      <c r="H461" s="38"/>
      <c r="I461" s="38"/>
      <c r="J461" s="38">
        <f t="shared" si="67"/>
        <v>5562776</v>
      </c>
      <c r="K461" s="38"/>
      <c r="L461" s="38"/>
      <c r="M461" s="38"/>
      <c r="N461" s="38">
        <f>O461</f>
        <v>5562776</v>
      </c>
      <c r="O461" s="78">
        <f>4466316+38550+1057910</f>
        <v>5562776</v>
      </c>
      <c r="P461" s="56">
        <f t="shared" si="57"/>
        <v>5562776</v>
      </c>
      <c r="Q461" s="54"/>
      <c r="W461" s="54"/>
    </row>
    <row r="462" spans="1:23" s="3" customFormat="1" ht="38.25" hidden="1">
      <c r="A462" s="40"/>
      <c r="B462" s="40">
        <v>210000</v>
      </c>
      <c r="C462" s="40"/>
      <c r="D462" s="61" t="s">
        <v>351</v>
      </c>
      <c r="E462" s="38">
        <f>E463</f>
        <v>0</v>
      </c>
      <c r="F462" s="38">
        <f>F463</f>
        <v>0</v>
      </c>
      <c r="G462" s="38"/>
      <c r="H462" s="38"/>
      <c r="I462" s="38"/>
      <c r="J462" s="38"/>
      <c r="K462" s="38"/>
      <c r="L462" s="38"/>
      <c r="M462" s="38"/>
      <c r="N462" s="38"/>
      <c r="O462" s="78"/>
      <c r="P462" s="56">
        <f t="shared" si="57"/>
        <v>0</v>
      </c>
      <c r="Q462" s="54"/>
      <c r="W462" s="54"/>
    </row>
    <row r="463" spans="1:23" s="3" customFormat="1" ht="38.25" hidden="1">
      <c r="A463" s="40"/>
      <c r="B463" s="40" t="s">
        <v>284</v>
      </c>
      <c r="C463" s="40"/>
      <c r="D463" s="75" t="s">
        <v>240</v>
      </c>
      <c r="E463" s="38">
        <f>F463+I463</f>
        <v>0</v>
      </c>
      <c r="F463" s="38"/>
      <c r="G463" s="38"/>
      <c r="H463" s="38"/>
      <c r="I463" s="38"/>
      <c r="J463" s="38"/>
      <c r="K463" s="38"/>
      <c r="L463" s="38"/>
      <c r="M463" s="38"/>
      <c r="N463" s="38"/>
      <c r="O463" s="78"/>
      <c r="P463" s="56">
        <f t="shared" si="57"/>
        <v>0</v>
      </c>
      <c r="Q463" s="54"/>
      <c r="W463" s="54"/>
    </row>
    <row r="464" spans="1:23" s="3" customFormat="1" ht="12.75" hidden="1">
      <c r="A464" s="9"/>
      <c r="B464" s="9" t="s">
        <v>370</v>
      </c>
      <c r="C464" s="9"/>
      <c r="D464" s="4" t="s">
        <v>374</v>
      </c>
      <c r="E464" s="27">
        <f>E465</f>
        <v>0</v>
      </c>
      <c r="F464" s="27"/>
      <c r="G464" s="27">
        <f aca="true" t="shared" si="69" ref="G464:O464">G465</f>
        <v>0</v>
      </c>
      <c r="H464" s="27">
        <f t="shared" si="69"/>
        <v>0</v>
      </c>
      <c r="I464" s="27"/>
      <c r="J464" s="27">
        <f t="shared" si="69"/>
        <v>0</v>
      </c>
      <c r="K464" s="27">
        <f t="shared" si="69"/>
        <v>0</v>
      </c>
      <c r="L464" s="27">
        <f t="shared" si="69"/>
        <v>0</v>
      </c>
      <c r="M464" s="27">
        <f t="shared" si="69"/>
        <v>0</v>
      </c>
      <c r="N464" s="27">
        <f t="shared" si="69"/>
        <v>0</v>
      </c>
      <c r="O464" s="27">
        <f t="shared" si="69"/>
        <v>0</v>
      </c>
      <c r="P464" s="45">
        <f t="shared" si="57"/>
        <v>0</v>
      </c>
      <c r="Q464" s="54"/>
      <c r="W464" s="54"/>
    </row>
    <row r="465" spans="1:23" s="3" customFormat="1" ht="76.5" customHeight="1" hidden="1">
      <c r="A465" s="9"/>
      <c r="B465" s="9" t="s">
        <v>286</v>
      </c>
      <c r="C465" s="9"/>
      <c r="D465" s="75" t="s">
        <v>100</v>
      </c>
      <c r="E465" s="27"/>
      <c r="F465" s="27"/>
      <c r="G465" s="27"/>
      <c r="H465" s="27"/>
      <c r="I465" s="27"/>
      <c r="J465" s="27">
        <f>K465+N465</f>
        <v>0</v>
      </c>
      <c r="K465" s="27"/>
      <c r="L465" s="27"/>
      <c r="M465" s="27"/>
      <c r="N465" s="27">
        <f>110000-110000</f>
        <v>0</v>
      </c>
      <c r="O465" s="27"/>
      <c r="P465" s="45">
        <f t="shared" si="57"/>
        <v>0</v>
      </c>
      <c r="Q465" s="54"/>
      <c r="W465" s="54"/>
    </row>
    <row r="466" spans="1:23" s="3" customFormat="1" ht="33" customHeight="1">
      <c r="A466" s="9"/>
      <c r="B466" s="9" t="s">
        <v>372</v>
      </c>
      <c r="C466" s="9"/>
      <c r="D466" s="61" t="s">
        <v>373</v>
      </c>
      <c r="E466" s="27">
        <f>E467</f>
        <v>302910</v>
      </c>
      <c r="F466" s="27">
        <f>F467</f>
        <v>302910</v>
      </c>
      <c r="G466" s="27">
        <f aca="true" t="shared" si="70" ref="G466:O466">G467</f>
        <v>0</v>
      </c>
      <c r="H466" s="27">
        <f t="shared" si="70"/>
        <v>0</v>
      </c>
      <c r="I466" s="27"/>
      <c r="J466" s="27">
        <f t="shared" si="70"/>
        <v>0</v>
      </c>
      <c r="K466" s="27">
        <f t="shared" si="70"/>
        <v>0</v>
      </c>
      <c r="L466" s="27">
        <f t="shared" si="70"/>
        <v>0</v>
      </c>
      <c r="M466" s="27">
        <f t="shared" si="70"/>
        <v>0</v>
      </c>
      <c r="N466" s="27">
        <f t="shared" si="70"/>
        <v>0</v>
      </c>
      <c r="O466" s="27">
        <f t="shared" si="70"/>
        <v>0</v>
      </c>
      <c r="P466" s="45">
        <f aca="true" t="shared" si="71" ref="P466:P536">E466+J466</f>
        <v>302910</v>
      </c>
      <c r="Q466" s="54"/>
      <c r="W466" s="54"/>
    </row>
    <row r="467" spans="1:23" s="3" customFormat="1" ht="12.75">
      <c r="A467" s="9"/>
      <c r="B467" s="9" t="s">
        <v>287</v>
      </c>
      <c r="C467" s="9" t="s">
        <v>7</v>
      </c>
      <c r="D467" s="4" t="s">
        <v>316</v>
      </c>
      <c r="E467" s="27">
        <f>SUM(E468:E474)</f>
        <v>302910</v>
      </c>
      <c r="F467" s="27">
        <f>SUM(F468:F474)</f>
        <v>302910</v>
      </c>
      <c r="G467" s="27"/>
      <c r="H467" s="27"/>
      <c r="I467" s="27"/>
      <c r="J467" s="27"/>
      <c r="K467" s="27"/>
      <c r="L467" s="27"/>
      <c r="M467" s="27"/>
      <c r="N467" s="27"/>
      <c r="O467" s="27"/>
      <c r="P467" s="45">
        <f t="shared" si="71"/>
        <v>302910</v>
      </c>
      <c r="Q467" s="54"/>
      <c r="W467" s="54"/>
    </row>
    <row r="468" spans="1:23" s="3" customFormat="1" ht="38.25" hidden="1">
      <c r="A468" s="9"/>
      <c r="B468" s="9"/>
      <c r="C468" s="9"/>
      <c r="D468" s="4" t="s">
        <v>179</v>
      </c>
      <c r="E468" s="27">
        <f>F468+I468</f>
        <v>141782</v>
      </c>
      <c r="F468" s="27">
        <v>141782</v>
      </c>
      <c r="G468" s="27"/>
      <c r="H468" s="27"/>
      <c r="I468" s="27"/>
      <c r="J468" s="27"/>
      <c r="K468" s="27"/>
      <c r="L468" s="27"/>
      <c r="M468" s="27"/>
      <c r="N468" s="27"/>
      <c r="O468" s="27"/>
      <c r="P468" s="45">
        <f t="shared" si="71"/>
        <v>141782</v>
      </c>
      <c r="Q468" s="54"/>
      <c r="W468" s="54"/>
    </row>
    <row r="469" spans="1:23" s="3" customFormat="1" ht="25.5" hidden="1">
      <c r="A469" s="9"/>
      <c r="B469" s="9"/>
      <c r="C469" s="9"/>
      <c r="D469" s="70" t="s">
        <v>203</v>
      </c>
      <c r="E469" s="27">
        <f aca="true" t="shared" si="72" ref="E469:E474">F469+I469</f>
        <v>0</v>
      </c>
      <c r="F469" s="27"/>
      <c r="G469" s="27"/>
      <c r="H469" s="27"/>
      <c r="I469" s="27"/>
      <c r="J469" s="27"/>
      <c r="K469" s="27"/>
      <c r="L469" s="27"/>
      <c r="M469" s="27"/>
      <c r="N469" s="27"/>
      <c r="O469" s="27"/>
      <c r="P469" s="45">
        <f t="shared" si="71"/>
        <v>0</v>
      </c>
      <c r="Q469" s="54"/>
      <c r="W469" s="54"/>
    </row>
    <row r="470" spans="1:23" s="3" customFormat="1" ht="25.5" hidden="1">
      <c r="A470" s="9"/>
      <c r="B470" s="9"/>
      <c r="C470" s="9"/>
      <c r="D470" s="4" t="s">
        <v>202</v>
      </c>
      <c r="E470" s="27">
        <f t="shared" si="72"/>
        <v>43889</v>
      </c>
      <c r="F470" s="27">
        <v>43889</v>
      </c>
      <c r="G470" s="27"/>
      <c r="H470" s="27"/>
      <c r="I470" s="27"/>
      <c r="J470" s="27"/>
      <c r="K470" s="27"/>
      <c r="L470" s="27"/>
      <c r="M470" s="27"/>
      <c r="N470" s="27"/>
      <c r="O470" s="27"/>
      <c r="P470" s="45">
        <f t="shared" si="71"/>
        <v>43889</v>
      </c>
      <c r="Q470" s="54"/>
      <c r="W470" s="54"/>
    </row>
    <row r="471" spans="1:23" s="3" customFormat="1" ht="25.5" hidden="1">
      <c r="A471" s="9"/>
      <c r="B471" s="9"/>
      <c r="C471" s="9"/>
      <c r="D471" s="4" t="s">
        <v>102</v>
      </c>
      <c r="E471" s="27">
        <f t="shared" si="72"/>
        <v>0</v>
      </c>
      <c r="F471" s="27"/>
      <c r="G471" s="27"/>
      <c r="H471" s="27"/>
      <c r="I471" s="27"/>
      <c r="J471" s="27"/>
      <c r="K471" s="27"/>
      <c r="L471" s="27"/>
      <c r="M471" s="27"/>
      <c r="N471" s="27"/>
      <c r="O471" s="27"/>
      <c r="P471" s="45">
        <f t="shared" si="71"/>
        <v>0</v>
      </c>
      <c r="Q471" s="54"/>
      <c r="W471" s="54"/>
    </row>
    <row r="472" spans="1:23" s="3" customFormat="1" ht="51" hidden="1">
      <c r="A472" s="9"/>
      <c r="B472" s="9"/>
      <c r="C472" s="9"/>
      <c r="D472" s="4" t="s">
        <v>219</v>
      </c>
      <c r="E472" s="27">
        <f t="shared" si="72"/>
        <v>70277</v>
      </c>
      <c r="F472" s="27">
        <v>70277</v>
      </c>
      <c r="G472" s="27"/>
      <c r="H472" s="27"/>
      <c r="I472" s="27"/>
      <c r="J472" s="27"/>
      <c r="K472" s="27"/>
      <c r="L472" s="27"/>
      <c r="M472" s="27"/>
      <c r="N472" s="27"/>
      <c r="O472" s="27"/>
      <c r="P472" s="45">
        <f t="shared" si="71"/>
        <v>70277</v>
      </c>
      <c r="Q472" s="54"/>
      <c r="W472" s="54"/>
    </row>
    <row r="473" spans="1:23" s="3" customFormat="1" ht="12.75" hidden="1">
      <c r="A473" s="9"/>
      <c r="B473" s="9"/>
      <c r="C473" s="9"/>
      <c r="D473" s="4" t="s">
        <v>442</v>
      </c>
      <c r="E473" s="27">
        <f t="shared" si="72"/>
        <v>46962</v>
      </c>
      <c r="F473" s="27">
        <f>33657+13305</f>
        <v>46962</v>
      </c>
      <c r="G473" s="27"/>
      <c r="H473" s="27"/>
      <c r="I473" s="27"/>
      <c r="J473" s="27"/>
      <c r="K473" s="27"/>
      <c r="L473" s="27"/>
      <c r="M473" s="27"/>
      <c r="N473" s="27"/>
      <c r="O473" s="27"/>
      <c r="P473" s="45"/>
      <c r="Q473" s="54"/>
      <c r="W473" s="54"/>
    </row>
    <row r="474" spans="1:23" s="3" customFormat="1" ht="24" hidden="1">
      <c r="A474" s="9"/>
      <c r="B474" s="9"/>
      <c r="C474" s="9"/>
      <c r="D474" s="39" t="s">
        <v>96</v>
      </c>
      <c r="E474" s="27">
        <f t="shared" si="72"/>
        <v>0</v>
      </c>
      <c r="F474" s="27"/>
      <c r="G474" s="27"/>
      <c r="H474" s="27"/>
      <c r="I474" s="27"/>
      <c r="J474" s="27"/>
      <c r="K474" s="27"/>
      <c r="L474" s="27"/>
      <c r="M474" s="27"/>
      <c r="N474" s="27"/>
      <c r="O474" s="27"/>
      <c r="P474" s="45">
        <f t="shared" si="71"/>
        <v>0</v>
      </c>
      <c r="Q474" s="54"/>
      <c r="W474" s="54"/>
    </row>
    <row r="475" spans="1:23" s="19" customFormat="1" ht="38.25" customHeight="1">
      <c r="A475" s="18"/>
      <c r="B475" s="18" t="s">
        <v>157</v>
      </c>
      <c r="C475" s="18"/>
      <c r="D475" s="20" t="s">
        <v>132</v>
      </c>
      <c r="E475" s="31">
        <f>E476+E478+E484+E488+E482+E486</f>
        <v>5434084</v>
      </c>
      <c r="F475" s="31">
        <f>F476+F478+F484+F488+F482+F486</f>
        <v>5434084</v>
      </c>
      <c r="G475" s="31">
        <f>G476+G478+G484+G488</f>
        <v>2581442</v>
      </c>
      <c r="H475" s="31">
        <f>H476+H478+H484+H488</f>
        <v>532191</v>
      </c>
      <c r="I475" s="31"/>
      <c r="J475" s="31">
        <f>K475+N475</f>
        <v>3902324</v>
      </c>
      <c r="K475" s="31">
        <f>K476+K478+K484+K488</f>
        <v>31948</v>
      </c>
      <c r="L475" s="31">
        <f>L476+L478+L484+L488</f>
        <v>0</v>
      </c>
      <c r="M475" s="31">
        <f>M476+M478+M484+M488</f>
        <v>0</v>
      </c>
      <c r="N475" s="31">
        <f>N476+N478+N484+N488+N480</f>
        <v>3870376</v>
      </c>
      <c r="O475" s="31">
        <f>O476+O478+O484+O488+O480</f>
        <v>3870376</v>
      </c>
      <c r="P475" s="31">
        <f>E475+J475</f>
        <v>9336408</v>
      </c>
      <c r="Q475" s="54"/>
      <c r="W475" s="54"/>
    </row>
    <row r="476" spans="1:23" s="3" customFormat="1" ht="12.75">
      <c r="A476" s="9"/>
      <c r="B476" s="9" t="s">
        <v>363</v>
      </c>
      <c r="C476" s="9"/>
      <c r="D476" s="4" t="s">
        <v>364</v>
      </c>
      <c r="E476" s="27">
        <f>E477</f>
        <v>4186549</v>
      </c>
      <c r="F476" s="27">
        <f>F477</f>
        <v>4186549</v>
      </c>
      <c r="G476" s="27">
        <f>G477</f>
        <v>2581442</v>
      </c>
      <c r="H476" s="27">
        <f>H477</f>
        <v>363820</v>
      </c>
      <c r="I476" s="27"/>
      <c r="J476" s="27">
        <f>K476+N476</f>
        <v>58802</v>
      </c>
      <c r="K476" s="27">
        <f>K477</f>
        <v>1948</v>
      </c>
      <c r="L476" s="27"/>
      <c r="M476" s="27"/>
      <c r="N476" s="27">
        <f>N477</f>
        <v>56854</v>
      </c>
      <c r="O476" s="27">
        <f>O477</f>
        <v>56854</v>
      </c>
      <c r="P476" s="27">
        <f t="shared" si="71"/>
        <v>4245351</v>
      </c>
      <c r="Q476" s="54"/>
      <c r="W476" s="54"/>
    </row>
    <row r="477" spans="1:23" s="1" customFormat="1" ht="15.75" customHeight="1">
      <c r="A477" s="8"/>
      <c r="B477" s="8" t="s">
        <v>248</v>
      </c>
      <c r="C477" s="8" t="s">
        <v>4</v>
      </c>
      <c r="D477" s="10" t="s">
        <v>249</v>
      </c>
      <c r="E477" s="27">
        <f>F477+I477</f>
        <v>4186549</v>
      </c>
      <c r="F477" s="27">
        <f>4169854+16695</f>
        <v>4186549</v>
      </c>
      <c r="G477" s="27">
        <f>2569075+12367</f>
        <v>2581442</v>
      </c>
      <c r="H477" s="27">
        <v>363820</v>
      </c>
      <c r="I477" s="27"/>
      <c r="J477" s="27">
        <f>K477+N477</f>
        <v>58802</v>
      </c>
      <c r="K477" s="27">
        <v>1948</v>
      </c>
      <c r="L477" s="27"/>
      <c r="M477" s="27"/>
      <c r="N477" s="27">
        <f>O477</f>
        <v>56854</v>
      </c>
      <c r="O477" s="29">
        <f>1541+55313</f>
        <v>56854</v>
      </c>
      <c r="P477" s="27">
        <f t="shared" si="71"/>
        <v>4245351</v>
      </c>
      <c r="Q477" s="54"/>
      <c r="W477" s="54"/>
    </row>
    <row r="478" spans="1:23" s="3" customFormat="1" ht="12.75">
      <c r="A478" s="9"/>
      <c r="B478" s="9" t="s">
        <v>375</v>
      </c>
      <c r="C478" s="9"/>
      <c r="D478" s="4" t="s">
        <v>376</v>
      </c>
      <c r="E478" s="27">
        <f>E479</f>
        <v>1012559</v>
      </c>
      <c r="F478" s="27">
        <f>F479</f>
        <v>1012559</v>
      </c>
      <c r="G478" s="27">
        <f aca="true" t="shared" si="73" ref="G478:O478">G479</f>
        <v>0</v>
      </c>
      <c r="H478" s="27">
        <f t="shared" si="73"/>
        <v>168371</v>
      </c>
      <c r="I478" s="27"/>
      <c r="J478" s="27">
        <f t="shared" si="73"/>
        <v>579324</v>
      </c>
      <c r="K478" s="27">
        <f t="shared" si="73"/>
        <v>30000</v>
      </c>
      <c r="L478" s="27">
        <f t="shared" si="73"/>
        <v>0</v>
      </c>
      <c r="M478" s="27">
        <f t="shared" si="73"/>
        <v>0</v>
      </c>
      <c r="N478" s="27">
        <f t="shared" si="73"/>
        <v>549324</v>
      </c>
      <c r="O478" s="27">
        <f t="shared" si="73"/>
        <v>549324</v>
      </c>
      <c r="P478" s="27">
        <f t="shared" si="71"/>
        <v>1591883</v>
      </c>
      <c r="Q478" s="54"/>
      <c r="W478" s="54"/>
    </row>
    <row r="479" spans="1:23" s="3" customFormat="1" ht="12.75">
      <c r="A479" s="9"/>
      <c r="B479" s="9" t="s">
        <v>93</v>
      </c>
      <c r="C479" s="9" t="s">
        <v>37</v>
      </c>
      <c r="D479" s="4" t="s">
        <v>97</v>
      </c>
      <c r="E479" s="27">
        <f>F479+I479</f>
        <v>1012559</v>
      </c>
      <c r="F479" s="27">
        <f>247208+765351</f>
        <v>1012559</v>
      </c>
      <c r="G479" s="27"/>
      <c r="H479" s="27">
        <f>7105+161266</f>
        <v>168371</v>
      </c>
      <c r="I479" s="27"/>
      <c r="J479" s="27">
        <f>K479+N479</f>
        <v>579324</v>
      </c>
      <c r="K479" s="27">
        <v>30000</v>
      </c>
      <c r="L479" s="27"/>
      <c r="M479" s="27"/>
      <c r="N479" s="27">
        <f>O479</f>
        <v>549324</v>
      </c>
      <c r="O479" s="27">
        <v>549324</v>
      </c>
      <c r="P479" s="27">
        <f t="shared" si="71"/>
        <v>1591883</v>
      </c>
      <c r="Q479" s="54"/>
      <c r="W479" s="54"/>
    </row>
    <row r="480" spans="1:23" s="3" customFormat="1" ht="12.75">
      <c r="A480" s="40"/>
      <c r="B480" s="40" t="s">
        <v>367</v>
      </c>
      <c r="C480" s="40"/>
      <c r="D480" s="61" t="s">
        <v>282</v>
      </c>
      <c r="E480" s="38"/>
      <c r="F480" s="38"/>
      <c r="G480" s="38"/>
      <c r="H480" s="38"/>
      <c r="I480" s="38"/>
      <c r="J480" s="38">
        <f>K480+N480</f>
        <v>3264198</v>
      </c>
      <c r="K480" s="38"/>
      <c r="L480" s="38"/>
      <c r="M480" s="38"/>
      <c r="N480" s="38">
        <f>N481</f>
        <v>3264198</v>
      </c>
      <c r="O480" s="38">
        <f>O481</f>
        <v>3264198</v>
      </c>
      <c r="P480" s="56">
        <f t="shared" si="71"/>
        <v>3264198</v>
      </c>
      <c r="Q480" s="54"/>
      <c r="W480" s="54"/>
    </row>
    <row r="481" spans="1:23" s="3" customFormat="1" ht="12.75">
      <c r="A481" s="40"/>
      <c r="B481" s="40" t="s">
        <v>338</v>
      </c>
      <c r="C481" s="76" t="s">
        <v>6</v>
      </c>
      <c r="D481" s="59" t="s">
        <v>339</v>
      </c>
      <c r="E481" s="38"/>
      <c r="F481" s="38"/>
      <c r="G481" s="38"/>
      <c r="H481" s="38"/>
      <c r="I481" s="38"/>
      <c r="J481" s="38">
        <f>K481+N481</f>
        <v>3264198</v>
      </c>
      <c r="K481" s="38"/>
      <c r="L481" s="38"/>
      <c r="M481" s="38"/>
      <c r="N481" s="38">
        <f>O481</f>
        <v>3264198</v>
      </c>
      <c r="O481" s="78">
        <f>6764198-1153760-2346240</f>
        <v>3264198</v>
      </c>
      <c r="P481" s="56">
        <f t="shared" si="71"/>
        <v>3264198</v>
      </c>
      <c r="Q481" s="54"/>
      <c r="W481" s="54"/>
    </row>
    <row r="482" spans="1:23" s="3" customFormat="1" ht="25.5" hidden="1">
      <c r="A482" s="76"/>
      <c r="B482" s="76" t="s">
        <v>377</v>
      </c>
      <c r="C482" s="76"/>
      <c r="D482" s="142" t="s">
        <v>378</v>
      </c>
      <c r="E482" s="38">
        <f>E483</f>
        <v>0</v>
      </c>
      <c r="F482" s="38">
        <f>F483</f>
        <v>0</v>
      </c>
      <c r="G482" s="38"/>
      <c r="H482" s="38"/>
      <c r="I482" s="38"/>
      <c r="J482" s="38"/>
      <c r="K482" s="38"/>
      <c r="L482" s="38"/>
      <c r="M482" s="38"/>
      <c r="N482" s="38"/>
      <c r="O482" s="78"/>
      <c r="P482" s="56">
        <f t="shared" si="71"/>
        <v>0</v>
      </c>
      <c r="Q482" s="54"/>
      <c r="W482" s="54"/>
    </row>
    <row r="483" spans="1:23" s="3" customFormat="1" ht="25.5" hidden="1">
      <c r="A483" s="76"/>
      <c r="B483" s="76" t="s">
        <v>302</v>
      </c>
      <c r="C483" s="76"/>
      <c r="D483" s="143" t="s">
        <v>303</v>
      </c>
      <c r="E483" s="38">
        <f>F483+I483</f>
        <v>0</v>
      </c>
      <c r="F483" s="38"/>
      <c r="G483" s="38"/>
      <c r="H483" s="38"/>
      <c r="I483" s="38"/>
      <c r="J483" s="38"/>
      <c r="K483" s="38"/>
      <c r="L483" s="38"/>
      <c r="M483" s="38"/>
      <c r="N483" s="38"/>
      <c r="O483" s="78"/>
      <c r="P483" s="56">
        <f t="shared" si="71"/>
        <v>0</v>
      </c>
      <c r="Q483" s="54"/>
      <c r="W483" s="54"/>
    </row>
    <row r="484" spans="1:23" s="3" customFormat="1" ht="15" customHeight="1" hidden="1">
      <c r="A484" s="9"/>
      <c r="B484" s="9" t="s">
        <v>370</v>
      </c>
      <c r="C484" s="9"/>
      <c r="D484" s="4" t="s">
        <v>374</v>
      </c>
      <c r="E484" s="27">
        <f>E485</f>
        <v>0</v>
      </c>
      <c r="F484" s="27"/>
      <c r="G484" s="27">
        <f aca="true" t="shared" si="74" ref="G484:O484">G485</f>
        <v>0</v>
      </c>
      <c r="H484" s="27">
        <f t="shared" si="74"/>
        <v>0</v>
      </c>
      <c r="I484" s="27"/>
      <c r="J484" s="38">
        <f>K484+N484</f>
        <v>0</v>
      </c>
      <c r="K484" s="27">
        <f t="shared" si="74"/>
        <v>0</v>
      </c>
      <c r="L484" s="27">
        <f t="shared" si="74"/>
        <v>0</v>
      </c>
      <c r="M484" s="27">
        <f t="shared" si="74"/>
        <v>0</v>
      </c>
      <c r="N484" s="27">
        <f t="shared" si="74"/>
        <v>0</v>
      </c>
      <c r="O484" s="27">
        <f t="shared" si="74"/>
        <v>0</v>
      </c>
      <c r="P484" s="56">
        <f t="shared" si="71"/>
        <v>0</v>
      </c>
      <c r="Q484" s="54"/>
      <c r="W484" s="54"/>
    </row>
    <row r="485" spans="1:23" s="3" customFormat="1" ht="26.25" customHeight="1" hidden="1">
      <c r="A485" s="9"/>
      <c r="B485" s="9" t="s">
        <v>286</v>
      </c>
      <c r="C485" s="9"/>
      <c r="D485" s="4" t="s">
        <v>333</v>
      </c>
      <c r="E485" s="27"/>
      <c r="F485" s="27"/>
      <c r="G485" s="27"/>
      <c r="H485" s="27"/>
      <c r="I485" s="27"/>
      <c r="J485" s="38">
        <f>K485+N485</f>
        <v>0</v>
      </c>
      <c r="K485" s="27"/>
      <c r="L485" s="27"/>
      <c r="M485" s="27"/>
      <c r="N485" s="27"/>
      <c r="O485" s="27"/>
      <c r="P485" s="56">
        <f t="shared" si="71"/>
        <v>0</v>
      </c>
      <c r="Q485" s="54"/>
      <c r="W485" s="54"/>
    </row>
    <row r="486" spans="1:23" s="3" customFormat="1" ht="26.25" customHeight="1" hidden="1">
      <c r="A486" s="40"/>
      <c r="B486" s="40">
        <v>210000</v>
      </c>
      <c r="C486" s="40"/>
      <c r="D486" s="61" t="s">
        <v>351</v>
      </c>
      <c r="E486" s="27">
        <f>E487</f>
        <v>0</v>
      </c>
      <c r="F486" s="27">
        <f>F487</f>
        <v>0</v>
      </c>
      <c r="G486" s="27"/>
      <c r="H486" s="27"/>
      <c r="I486" s="27"/>
      <c r="J486" s="38"/>
      <c r="K486" s="27"/>
      <c r="L486" s="27"/>
      <c r="M486" s="27"/>
      <c r="N486" s="27"/>
      <c r="O486" s="27"/>
      <c r="P486" s="56">
        <f t="shared" si="71"/>
        <v>0</v>
      </c>
      <c r="Q486" s="54"/>
      <c r="W486" s="54"/>
    </row>
    <row r="487" spans="1:23" s="3" customFormat="1" ht="26.25" customHeight="1" hidden="1">
      <c r="A487" s="40"/>
      <c r="B487" s="40" t="s">
        <v>284</v>
      </c>
      <c r="C487" s="40"/>
      <c r="D487" s="75" t="s">
        <v>240</v>
      </c>
      <c r="E487" s="27">
        <f>F487+I487</f>
        <v>0</v>
      </c>
      <c r="F487" s="27"/>
      <c r="G487" s="27"/>
      <c r="H487" s="27"/>
      <c r="I487" s="27"/>
      <c r="J487" s="38"/>
      <c r="K487" s="27"/>
      <c r="L487" s="27"/>
      <c r="M487" s="27"/>
      <c r="N487" s="27"/>
      <c r="O487" s="27"/>
      <c r="P487" s="56">
        <f t="shared" si="71"/>
        <v>0</v>
      </c>
      <c r="Q487" s="54"/>
      <c r="W487" s="54"/>
    </row>
    <row r="488" spans="1:23" s="3" customFormat="1" ht="25.5" customHeight="1">
      <c r="A488" s="9"/>
      <c r="B488" s="9" t="s">
        <v>372</v>
      </c>
      <c r="C488" s="9"/>
      <c r="D488" s="61" t="s">
        <v>373</v>
      </c>
      <c r="E488" s="27">
        <f>E489</f>
        <v>234976</v>
      </c>
      <c r="F488" s="27">
        <f>F489</f>
        <v>234976</v>
      </c>
      <c r="G488" s="27"/>
      <c r="H488" s="27"/>
      <c r="I488" s="27"/>
      <c r="J488" s="27"/>
      <c r="K488" s="27"/>
      <c r="L488" s="27"/>
      <c r="M488" s="27"/>
      <c r="N488" s="27"/>
      <c r="O488" s="27"/>
      <c r="P488" s="27">
        <f t="shared" si="71"/>
        <v>234976</v>
      </c>
      <c r="Q488" s="54"/>
      <c r="W488" s="54"/>
    </row>
    <row r="489" spans="1:23" s="3" customFormat="1" ht="12.75">
      <c r="A489" s="9"/>
      <c r="B489" s="9" t="s">
        <v>287</v>
      </c>
      <c r="C489" s="9" t="s">
        <v>7</v>
      </c>
      <c r="D489" s="4" t="s">
        <v>316</v>
      </c>
      <c r="E489" s="27">
        <f>SUM(E490:E496)</f>
        <v>234976</v>
      </c>
      <c r="F489" s="27">
        <f>SUM(F490:F496)</f>
        <v>234976</v>
      </c>
      <c r="G489" s="27"/>
      <c r="H489" s="27"/>
      <c r="I489" s="27"/>
      <c r="J489" s="27"/>
      <c r="K489" s="27"/>
      <c r="L489" s="27"/>
      <c r="M489" s="27"/>
      <c r="N489" s="27"/>
      <c r="O489" s="27"/>
      <c r="P489" s="27">
        <f t="shared" si="71"/>
        <v>234976</v>
      </c>
      <c r="Q489" s="54"/>
      <c r="W489" s="54"/>
    </row>
    <row r="490" spans="1:23" s="3" customFormat="1" ht="38.25" hidden="1">
      <c r="A490" s="9"/>
      <c r="B490" s="9"/>
      <c r="C490" s="9"/>
      <c r="D490" s="4" t="s">
        <v>179</v>
      </c>
      <c r="E490" s="27">
        <f>F490+I490</f>
        <v>146508</v>
      </c>
      <c r="F490" s="27">
        <v>146508</v>
      </c>
      <c r="G490" s="27"/>
      <c r="H490" s="27"/>
      <c r="I490" s="27"/>
      <c r="J490" s="27"/>
      <c r="K490" s="27"/>
      <c r="L490" s="27"/>
      <c r="M490" s="27"/>
      <c r="N490" s="27"/>
      <c r="O490" s="27"/>
      <c r="P490" s="27">
        <f t="shared" si="71"/>
        <v>146508</v>
      </c>
      <c r="Q490" s="54"/>
      <c r="W490" s="54"/>
    </row>
    <row r="491" spans="1:23" s="3" customFormat="1" ht="25.5" hidden="1">
      <c r="A491" s="9"/>
      <c r="B491" s="9"/>
      <c r="C491" s="9"/>
      <c r="D491" s="70" t="s">
        <v>203</v>
      </c>
      <c r="E491" s="27">
        <f aca="true" t="shared" si="75" ref="E491:E496">F491+I491</f>
        <v>0</v>
      </c>
      <c r="F491" s="27"/>
      <c r="G491" s="27"/>
      <c r="H491" s="27"/>
      <c r="I491" s="27"/>
      <c r="J491" s="27"/>
      <c r="K491" s="27"/>
      <c r="L491" s="27"/>
      <c r="M491" s="27"/>
      <c r="N491" s="27"/>
      <c r="O491" s="27"/>
      <c r="P491" s="27">
        <f t="shared" si="71"/>
        <v>0</v>
      </c>
      <c r="Q491" s="54"/>
      <c r="W491" s="54"/>
    </row>
    <row r="492" spans="1:23" s="3" customFormat="1" ht="25.5" hidden="1">
      <c r="A492" s="9"/>
      <c r="B492" s="9"/>
      <c r="C492" s="9"/>
      <c r="D492" s="4" t="s">
        <v>202</v>
      </c>
      <c r="E492" s="27">
        <f t="shared" si="75"/>
        <v>20991</v>
      </c>
      <c r="F492" s="27">
        <v>20991</v>
      </c>
      <c r="G492" s="27"/>
      <c r="H492" s="27"/>
      <c r="I492" s="27"/>
      <c r="J492" s="27"/>
      <c r="K492" s="27"/>
      <c r="L492" s="27"/>
      <c r="M492" s="27"/>
      <c r="N492" s="27"/>
      <c r="O492" s="27"/>
      <c r="P492" s="27">
        <f t="shared" si="71"/>
        <v>20991</v>
      </c>
      <c r="Q492" s="54"/>
      <c r="W492" s="54"/>
    </row>
    <row r="493" spans="1:23" s="3" customFormat="1" ht="25.5" hidden="1">
      <c r="A493" s="9"/>
      <c r="B493" s="9"/>
      <c r="C493" s="9"/>
      <c r="D493" s="4" t="s">
        <v>102</v>
      </c>
      <c r="E493" s="27">
        <f t="shared" si="75"/>
        <v>0</v>
      </c>
      <c r="F493" s="27"/>
      <c r="G493" s="27"/>
      <c r="H493" s="27"/>
      <c r="I493" s="27"/>
      <c r="J493" s="27"/>
      <c r="K493" s="27"/>
      <c r="L493" s="27"/>
      <c r="M493" s="27"/>
      <c r="N493" s="27"/>
      <c r="O493" s="27"/>
      <c r="P493" s="27">
        <f t="shared" si="71"/>
        <v>0</v>
      </c>
      <c r="Q493" s="54"/>
      <c r="W493" s="54"/>
    </row>
    <row r="494" spans="1:23" s="3" customFormat="1" ht="51" hidden="1">
      <c r="A494" s="9"/>
      <c r="B494" s="9"/>
      <c r="C494" s="9"/>
      <c r="D494" s="4" t="s">
        <v>219</v>
      </c>
      <c r="E494" s="27">
        <f t="shared" si="75"/>
        <v>16095</v>
      </c>
      <c r="F494" s="27">
        <f>6095+10000</f>
        <v>16095</v>
      </c>
      <c r="G494" s="27"/>
      <c r="H494" s="27"/>
      <c r="I494" s="27"/>
      <c r="J494" s="27"/>
      <c r="K494" s="27"/>
      <c r="L494" s="27"/>
      <c r="M494" s="27"/>
      <c r="N494" s="27"/>
      <c r="O494" s="27"/>
      <c r="P494" s="27">
        <f t="shared" si="71"/>
        <v>16095</v>
      </c>
      <c r="Q494" s="54"/>
      <c r="W494" s="54"/>
    </row>
    <row r="495" spans="1:23" s="3" customFormat="1" ht="12.75" hidden="1">
      <c r="A495" s="9"/>
      <c r="B495" s="9"/>
      <c r="C495" s="9"/>
      <c r="D495" s="4" t="s">
        <v>442</v>
      </c>
      <c r="E495" s="27">
        <f t="shared" si="75"/>
        <v>51382</v>
      </c>
      <c r="F495" s="27">
        <f>38077+13305</f>
        <v>51382</v>
      </c>
      <c r="G495" s="27"/>
      <c r="H495" s="27"/>
      <c r="I495" s="27"/>
      <c r="J495" s="27"/>
      <c r="K495" s="27"/>
      <c r="L495" s="27"/>
      <c r="M495" s="27"/>
      <c r="N495" s="27"/>
      <c r="O495" s="27"/>
      <c r="P495" s="27">
        <f t="shared" si="71"/>
        <v>51382</v>
      </c>
      <c r="Q495" s="54"/>
      <c r="W495" s="54"/>
    </row>
    <row r="496" spans="1:23" s="3" customFormat="1" ht="24" hidden="1">
      <c r="A496" s="9"/>
      <c r="B496" s="9"/>
      <c r="C496" s="9"/>
      <c r="D496" s="39" t="s">
        <v>96</v>
      </c>
      <c r="E496" s="27">
        <f t="shared" si="75"/>
        <v>0</v>
      </c>
      <c r="F496" s="27"/>
      <c r="G496" s="27"/>
      <c r="H496" s="27"/>
      <c r="I496" s="27"/>
      <c r="J496" s="27"/>
      <c r="K496" s="27"/>
      <c r="L496" s="27"/>
      <c r="M496" s="27"/>
      <c r="N496" s="27"/>
      <c r="O496" s="27"/>
      <c r="P496" s="27">
        <f t="shared" si="71"/>
        <v>0</v>
      </c>
      <c r="Q496" s="54"/>
      <c r="W496" s="54"/>
    </row>
    <row r="497" spans="1:23" s="19" customFormat="1" ht="38.25">
      <c r="A497" s="18"/>
      <c r="B497" s="18" t="s">
        <v>158</v>
      </c>
      <c r="C497" s="18"/>
      <c r="D497" s="20" t="s">
        <v>135</v>
      </c>
      <c r="E497" s="30">
        <f>E498+E502+E510+E512+E504+E508+E500</f>
        <v>6045092</v>
      </c>
      <c r="F497" s="30">
        <f>F498+F502+F510+F512+F504+F508+F500</f>
        <v>6045092</v>
      </c>
      <c r="G497" s="30">
        <f>G498+G502+G510+G512+G504</f>
        <v>2790155</v>
      </c>
      <c r="H497" s="30">
        <f>H498+H502+H510+H512+H504</f>
        <v>459985</v>
      </c>
      <c r="I497" s="30"/>
      <c r="J497" s="30">
        <f>K497+N497</f>
        <v>2719840</v>
      </c>
      <c r="K497" s="30">
        <f>K498+K502+K510+K512+K504+K506</f>
        <v>143279</v>
      </c>
      <c r="L497" s="30">
        <f>L498+L502+L510+L512+L504</f>
        <v>0</v>
      </c>
      <c r="M497" s="30">
        <f>M498+M502+M510+M512+M504</f>
        <v>0</v>
      </c>
      <c r="N497" s="30">
        <f>N498+N502+N510+N512+N504+N506</f>
        <v>2576561</v>
      </c>
      <c r="O497" s="30">
        <f>O498+O502+O510+O512+O504+O506</f>
        <v>2500000</v>
      </c>
      <c r="P497" s="30">
        <f>E497+J497</f>
        <v>8764932</v>
      </c>
      <c r="Q497" s="54"/>
      <c r="W497" s="54"/>
    </row>
    <row r="498" spans="1:23" s="3" customFormat="1" ht="12.75">
      <c r="A498" s="9"/>
      <c r="B498" s="9" t="s">
        <v>363</v>
      </c>
      <c r="C498" s="9"/>
      <c r="D498" s="12" t="s">
        <v>364</v>
      </c>
      <c r="E498" s="26">
        <f>E499</f>
        <v>4653135</v>
      </c>
      <c r="F498" s="26">
        <f>F499</f>
        <v>4653135</v>
      </c>
      <c r="G498" s="26">
        <f>G499</f>
        <v>2790155</v>
      </c>
      <c r="H498" s="26">
        <f>H499</f>
        <v>459985</v>
      </c>
      <c r="I498" s="26"/>
      <c r="J498" s="26">
        <f>K498+N498</f>
        <v>154190</v>
      </c>
      <c r="K498" s="26">
        <f>K499</f>
        <v>77629</v>
      </c>
      <c r="L498" s="26">
        <f>L499</f>
        <v>0</v>
      </c>
      <c r="M498" s="26">
        <f>M499</f>
        <v>0</v>
      </c>
      <c r="N498" s="26">
        <f>N499</f>
        <v>76561</v>
      </c>
      <c r="O498" s="26">
        <f>O499</f>
        <v>0</v>
      </c>
      <c r="P498" s="26">
        <f t="shared" si="71"/>
        <v>4807325</v>
      </c>
      <c r="Q498" s="54"/>
      <c r="W498" s="54"/>
    </row>
    <row r="499" spans="1:23" s="5" customFormat="1" ht="12.75">
      <c r="A499" s="8"/>
      <c r="B499" s="8" t="s">
        <v>248</v>
      </c>
      <c r="C499" s="8" t="s">
        <v>4</v>
      </c>
      <c r="D499" s="2" t="s">
        <v>249</v>
      </c>
      <c r="E499" s="140">
        <f>F499+I499</f>
        <v>4653135</v>
      </c>
      <c r="F499" s="140">
        <f>4607518+1200+44417</f>
        <v>4653135</v>
      </c>
      <c r="G499" s="140">
        <f>2757818+32337</f>
        <v>2790155</v>
      </c>
      <c r="H499" s="24">
        <v>459985</v>
      </c>
      <c r="I499" s="24"/>
      <c r="J499" s="26">
        <f>K499+N499</f>
        <v>154190</v>
      </c>
      <c r="K499" s="24">
        <v>77629</v>
      </c>
      <c r="L499" s="24"/>
      <c r="M499" s="24"/>
      <c r="N499" s="24">
        <v>76561</v>
      </c>
      <c r="O499" s="24"/>
      <c r="P499" s="26">
        <f t="shared" si="71"/>
        <v>4807325</v>
      </c>
      <c r="Q499" s="54"/>
      <c r="W499" s="54"/>
    </row>
    <row r="500" spans="1:23" s="5" customFormat="1" ht="25.5" hidden="1">
      <c r="A500" s="40"/>
      <c r="B500" s="40" t="s">
        <v>270</v>
      </c>
      <c r="C500" s="40"/>
      <c r="D500" s="59" t="s">
        <v>317</v>
      </c>
      <c r="E500" s="140">
        <f>E501</f>
        <v>0</v>
      </c>
      <c r="F500" s="140">
        <f>F501</f>
        <v>0</v>
      </c>
      <c r="G500" s="140"/>
      <c r="H500" s="24"/>
      <c r="I500" s="24"/>
      <c r="J500" s="26">
        <f aca="true" t="shared" si="76" ref="J500:J507">K500+N500</f>
        <v>0</v>
      </c>
      <c r="K500" s="24"/>
      <c r="L500" s="24"/>
      <c r="M500" s="24"/>
      <c r="N500" s="24"/>
      <c r="O500" s="24"/>
      <c r="P500" s="26">
        <f t="shared" si="71"/>
        <v>0</v>
      </c>
      <c r="Q500" s="54"/>
      <c r="W500" s="54"/>
    </row>
    <row r="501" spans="1:23" s="5" customFormat="1" ht="25.5" hidden="1">
      <c r="A501" s="40"/>
      <c r="B501" s="40" t="s">
        <v>271</v>
      </c>
      <c r="C501" s="40"/>
      <c r="D501" s="36" t="s">
        <v>331</v>
      </c>
      <c r="E501" s="140">
        <f>F501+I501</f>
        <v>0</v>
      </c>
      <c r="F501" s="140"/>
      <c r="G501" s="140"/>
      <c r="H501" s="24"/>
      <c r="I501" s="24"/>
      <c r="J501" s="26">
        <f t="shared" si="76"/>
        <v>0</v>
      </c>
      <c r="K501" s="24"/>
      <c r="L501" s="24"/>
      <c r="M501" s="24"/>
      <c r="N501" s="24"/>
      <c r="O501" s="24"/>
      <c r="P501" s="26">
        <f t="shared" si="71"/>
        <v>0</v>
      </c>
      <c r="Q501" s="54"/>
      <c r="W501" s="54"/>
    </row>
    <row r="502" spans="1:23" s="3" customFormat="1" ht="12.75">
      <c r="A502" s="9"/>
      <c r="B502" s="9" t="s">
        <v>375</v>
      </c>
      <c r="C502" s="9"/>
      <c r="D502" s="4" t="s">
        <v>376</v>
      </c>
      <c r="E502" s="27">
        <f>E503</f>
        <v>887316</v>
      </c>
      <c r="F502" s="27">
        <f>F503</f>
        <v>887316</v>
      </c>
      <c r="G502" s="27">
        <f aca="true" t="shared" si="77" ref="G502:O502">G503</f>
        <v>0</v>
      </c>
      <c r="H502" s="27">
        <f t="shared" si="77"/>
        <v>0</v>
      </c>
      <c r="I502" s="27"/>
      <c r="J502" s="26">
        <f t="shared" si="76"/>
        <v>0</v>
      </c>
      <c r="K502" s="27">
        <f t="shared" si="77"/>
        <v>0</v>
      </c>
      <c r="L502" s="27">
        <f t="shared" si="77"/>
        <v>0</v>
      </c>
      <c r="M502" s="27">
        <f t="shared" si="77"/>
        <v>0</v>
      </c>
      <c r="N502" s="27">
        <f t="shared" si="77"/>
        <v>0</v>
      </c>
      <c r="O502" s="27">
        <f t="shared" si="77"/>
        <v>0</v>
      </c>
      <c r="P502" s="26">
        <f t="shared" si="71"/>
        <v>887316</v>
      </c>
      <c r="Q502" s="54"/>
      <c r="W502" s="54"/>
    </row>
    <row r="503" spans="1:23" s="3" customFormat="1" ht="12.75">
      <c r="A503" s="9"/>
      <c r="B503" s="9" t="s">
        <v>93</v>
      </c>
      <c r="C503" s="9" t="s">
        <v>37</v>
      </c>
      <c r="D503" s="4" t="s">
        <v>97</v>
      </c>
      <c r="E503" s="27">
        <f>F503+I503</f>
        <v>887316</v>
      </c>
      <c r="F503" s="27">
        <f>91316+796000</f>
        <v>887316</v>
      </c>
      <c r="G503" s="27"/>
      <c r="H503" s="27"/>
      <c r="I503" s="27"/>
      <c r="J503" s="26">
        <f t="shared" si="76"/>
        <v>0</v>
      </c>
      <c r="K503" s="27"/>
      <c r="L503" s="27"/>
      <c r="M503" s="27"/>
      <c r="N503" s="27">
        <f>O503</f>
        <v>0</v>
      </c>
      <c r="O503" s="27"/>
      <c r="P503" s="26">
        <f t="shared" si="71"/>
        <v>887316</v>
      </c>
      <c r="Q503" s="54"/>
      <c r="W503" s="54"/>
    </row>
    <row r="504" spans="1:23" s="3" customFormat="1" ht="12.75" hidden="1">
      <c r="A504" s="40"/>
      <c r="B504" s="40" t="s">
        <v>379</v>
      </c>
      <c r="C504" s="40"/>
      <c r="D504" s="36" t="s">
        <v>291</v>
      </c>
      <c r="E504" s="27">
        <f>E505</f>
        <v>0</v>
      </c>
      <c r="F504" s="27"/>
      <c r="G504" s="27"/>
      <c r="H504" s="27"/>
      <c r="I504" s="27"/>
      <c r="J504" s="26">
        <f t="shared" si="76"/>
        <v>0</v>
      </c>
      <c r="K504" s="27"/>
      <c r="L504" s="27"/>
      <c r="M504" s="27"/>
      <c r="N504" s="27"/>
      <c r="O504" s="27"/>
      <c r="P504" s="26">
        <f t="shared" si="71"/>
        <v>0</v>
      </c>
      <c r="Q504" s="54"/>
      <c r="W504" s="54"/>
    </row>
    <row r="505" spans="1:23" s="3" customFormat="1" ht="12.75" hidden="1">
      <c r="A505" s="40"/>
      <c r="B505" s="40" t="s">
        <v>340</v>
      </c>
      <c r="C505" s="40"/>
      <c r="D505" s="61" t="s">
        <v>288</v>
      </c>
      <c r="E505" s="27"/>
      <c r="F505" s="27"/>
      <c r="G505" s="27"/>
      <c r="H505" s="27"/>
      <c r="I505" s="27"/>
      <c r="J505" s="26">
        <f t="shared" si="76"/>
        <v>0</v>
      </c>
      <c r="K505" s="27"/>
      <c r="L505" s="27"/>
      <c r="M505" s="27"/>
      <c r="N505" s="27"/>
      <c r="O505" s="27"/>
      <c r="P505" s="26">
        <f t="shared" si="71"/>
        <v>0</v>
      </c>
      <c r="Q505" s="54"/>
      <c r="W505" s="54"/>
    </row>
    <row r="506" spans="1:23" s="3" customFormat="1" ht="12.75">
      <c r="A506" s="40"/>
      <c r="B506" s="40" t="s">
        <v>367</v>
      </c>
      <c r="C506" s="40"/>
      <c r="D506" s="61" t="s">
        <v>282</v>
      </c>
      <c r="E506" s="27"/>
      <c r="F506" s="27"/>
      <c r="G506" s="27"/>
      <c r="H506" s="27"/>
      <c r="I506" s="27"/>
      <c r="J506" s="26">
        <f t="shared" si="76"/>
        <v>2500000</v>
      </c>
      <c r="K506" s="27"/>
      <c r="L506" s="27"/>
      <c r="M506" s="27"/>
      <c r="N506" s="27">
        <f>N507</f>
        <v>2500000</v>
      </c>
      <c r="O506" s="27">
        <f>O507</f>
        <v>2500000</v>
      </c>
      <c r="P506" s="26">
        <f t="shared" si="71"/>
        <v>2500000</v>
      </c>
      <c r="Q506" s="54"/>
      <c r="W506" s="54"/>
    </row>
    <row r="507" spans="1:23" s="3" customFormat="1" ht="12.75">
      <c r="A507" s="40"/>
      <c r="B507" s="40" t="s">
        <v>338</v>
      </c>
      <c r="C507" s="76" t="s">
        <v>6</v>
      </c>
      <c r="D507" s="59" t="s">
        <v>339</v>
      </c>
      <c r="E507" s="27"/>
      <c r="F507" s="27"/>
      <c r="G507" s="27"/>
      <c r="H507" s="27"/>
      <c r="I507" s="27"/>
      <c r="J507" s="26">
        <f t="shared" si="76"/>
        <v>2500000</v>
      </c>
      <c r="K507" s="27"/>
      <c r="L507" s="27"/>
      <c r="M507" s="27"/>
      <c r="N507" s="27">
        <f>O507</f>
        <v>2500000</v>
      </c>
      <c r="O507" s="27">
        <v>2500000</v>
      </c>
      <c r="P507" s="26">
        <f t="shared" si="71"/>
        <v>2500000</v>
      </c>
      <c r="Q507" s="54"/>
      <c r="W507" s="54"/>
    </row>
    <row r="508" spans="1:23" s="3" customFormat="1" ht="38.25" hidden="1">
      <c r="A508" s="40"/>
      <c r="B508" s="40">
        <v>210000</v>
      </c>
      <c r="C508" s="40"/>
      <c r="D508" s="61" t="s">
        <v>351</v>
      </c>
      <c r="E508" s="27">
        <f>E509</f>
        <v>0</v>
      </c>
      <c r="F508" s="27">
        <f>F509</f>
        <v>0</v>
      </c>
      <c r="G508" s="27"/>
      <c r="H508" s="27"/>
      <c r="I508" s="27"/>
      <c r="J508" s="27"/>
      <c r="K508" s="27"/>
      <c r="L508" s="27"/>
      <c r="M508" s="27"/>
      <c r="N508" s="27"/>
      <c r="O508" s="27"/>
      <c r="P508" s="26">
        <f t="shared" si="71"/>
        <v>0</v>
      </c>
      <c r="Q508" s="54"/>
      <c r="W508" s="54"/>
    </row>
    <row r="509" spans="1:23" s="3" customFormat="1" ht="38.25" hidden="1">
      <c r="A509" s="40"/>
      <c r="B509" s="40" t="s">
        <v>284</v>
      </c>
      <c r="C509" s="40"/>
      <c r="D509" s="75" t="s">
        <v>240</v>
      </c>
      <c r="E509" s="27">
        <f>F509+I509</f>
        <v>0</v>
      </c>
      <c r="F509" s="27"/>
      <c r="G509" s="27"/>
      <c r="H509" s="27"/>
      <c r="I509" s="27"/>
      <c r="J509" s="27"/>
      <c r="K509" s="27"/>
      <c r="L509" s="27"/>
      <c r="M509" s="27"/>
      <c r="N509" s="27"/>
      <c r="O509" s="27"/>
      <c r="P509" s="26">
        <f t="shared" si="71"/>
        <v>0</v>
      </c>
      <c r="Q509" s="54"/>
      <c r="W509" s="54"/>
    </row>
    <row r="510" spans="1:23" s="3" customFormat="1" ht="12.75">
      <c r="A510" s="9"/>
      <c r="B510" s="9" t="s">
        <v>370</v>
      </c>
      <c r="C510" s="9"/>
      <c r="D510" s="4" t="s">
        <v>374</v>
      </c>
      <c r="E510" s="27">
        <f>E511</f>
        <v>0</v>
      </c>
      <c r="F510" s="27"/>
      <c r="G510" s="27">
        <f aca="true" t="shared" si="78" ref="G510:O510">G511</f>
        <v>0</v>
      </c>
      <c r="H510" s="27">
        <f t="shared" si="78"/>
        <v>0</v>
      </c>
      <c r="I510" s="27"/>
      <c r="J510" s="27">
        <f t="shared" si="78"/>
        <v>65650</v>
      </c>
      <c r="K510" s="27">
        <f t="shared" si="78"/>
        <v>65650</v>
      </c>
      <c r="L510" s="27">
        <f t="shared" si="78"/>
        <v>0</v>
      </c>
      <c r="M510" s="27">
        <f t="shared" si="78"/>
        <v>0</v>
      </c>
      <c r="N510" s="27">
        <f t="shared" si="78"/>
        <v>0</v>
      </c>
      <c r="O510" s="27">
        <f t="shared" si="78"/>
        <v>0</v>
      </c>
      <c r="P510" s="26">
        <f t="shared" si="71"/>
        <v>65650</v>
      </c>
      <c r="Q510" s="54"/>
      <c r="W510" s="54"/>
    </row>
    <row r="511" spans="1:23" s="3" customFormat="1" ht="78" customHeight="1">
      <c r="A511" s="9"/>
      <c r="B511" s="9" t="s">
        <v>286</v>
      </c>
      <c r="C511" s="9" t="s">
        <v>7</v>
      </c>
      <c r="D511" s="75" t="s">
        <v>100</v>
      </c>
      <c r="E511" s="27"/>
      <c r="F511" s="27"/>
      <c r="G511" s="27"/>
      <c r="H511" s="27"/>
      <c r="I511" s="27"/>
      <c r="J511" s="27">
        <f>K511+N511</f>
        <v>65650</v>
      </c>
      <c r="K511" s="27">
        <f>50000+15650</f>
        <v>65650</v>
      </c>
      <c r="L511" s="27"/>
      <c r="M511" s="27"/>
      <c r="N511" s="27"/>
      <c r="O511" s="27"/>
      <c r="P511" s="26">
        <f t="shared" si="71"/>
        <v>65650</v>
      </c>
      <c r="Q511" s="54"/>
      <c r="W511" s="54"/>
    </row>
    <row r="512" spans="1:23" s="3" customFormat="1" ht="26.25" customHeight="1">
      <c r="A512" s="9"/>
      <c r="B512" s="9" t="s">
        <v>372</v>
      </c>
      <c r="C512" s="9"/>
      <c r="D512" s="61" t="s">
        <v>373</v>
      </c>
      <c r="E512" s="27">
        <f>E513</f>
        <v>504641</v>
      </c>
      <c r="F512" s="27">
        <f>F513</f>
        <v>504641</v>
      </c>
      <c r="G512" s="27">
        <f aca="true" t="shared" si="79" ref="G512:O512">G513</f>
        <v>0</v>
      </c>
      <c r="H512" s="27">
        <f t="shared" si="79"/>
        <v>0</v>
      </c>
      <c r="I512" s="27"/>
      <c r="J512" s="27">
        <f t="shared" si="79"/>
        <v>0</v>
      </c>
      <c r="K512" s="27">
        <f t="shared" si="79"/>
        <v>0</v>
      </c>
      <c r="L512" s="27">
        <f t="shared" si="79"/>
        <v>0</v>
      </c>
      <c r="M512" s="27">
        <f t="shared" si="79"/>
        <v>0</v>
      </c>
      <c r="N512" s="27">
        <f t="shared" si="79"/>
        <v>0</v>
      </c>
      <c r="O512" s="27">
        <f t="shared" si="79"/>
        <v>0</v>
      </c>
      <c r="P512" s="26">
        <f t="shared" si="71"/>
        <v>504641</v>
      </c>
      <c r="Q512" s="54"/>
      <c r="W512" s="54"/>
    </row>
    <row r="513" spans="1:23" s="3" customFormat="1" ht="12.75">
      <c r="A513" s="9"/>
      <c r="B513" s="9" t="s">
        <v>287</v>
      </c>
      <c r="C513" s="9" t="s">
        <v>7</v>
      </c>
      <c r="D513" s="4" t="s">
        <v>316</v>
      </c>
      <c r="E513" s="27">
        <f>SUM(E514:E521)</f>
        <v>504641</v>
      </c>
      <c r="F513" s="27">
        <f>SUM(F514:F521)</f>
        <v>504641</v>
      </c>
      <c r="G513" s="27"/>
      <c r="H513" s="27"/>
      <c r="I513" s="27"/>
      <c r="J513" s="27"/>
      <c r="K513" s="27"/>
      <c r="L513" s="27"/>
      <c r="M513" s="27"/>
      <c r="N513" s="27"/>
      <c r="O513" s="27"/>
      <c r="P513" s="26">
        <f t="shared" si="71"/>
        <v>504641</v>
      </c>
      <c r="Q513" s="54"/>
      <c r="W513" s="54"/>
    </row>
    <row r="514" spans="1:23" s="3" customFormat="1" ht="38.25" hidden="1">
      <c r="A514" s="9"/>
      <c r="B514" s="9"/>
      <c r="C514" s="9"/>
      <c r="D514" s="4" t="s">
        <v>179</v>
      </c>
      <c r="E514" s="27">
        <f>F514+I514</f>
        <v>321370</v>
      </c>
      <c r="F514" s="27">
        <v>321370</v>
      </c>
      <c r="G514" s="27"/>
      <c r="H514" s="27"/>
      <c r="I514" s="27"/>
      <c r="J514" s="27"/>
      <c r="K514" s="27"/>
      <c r="L514" s="27"/>
      <c r="M514" s="27"/>
      <c r="N514" s="27"/>
      <c r="O514" s="27"/>
      <c r="P514" s="26">
        <f>E514+J514</f>
        <v>321370</v>
      </c>
      <c r="Q514" s="54"/>
      <c r="W514" s="54"/>
    </row>
    <row r="515" spans="1:23" s="3" customFormat="1" ht="38.25" customHeight="1" hidden="1">
      <c r="A515" s="9"/>
      <c r="B515" s="9"/>
      <c r="C515" s="9"/>
      <c r="D515" s="4" t="s">
        <v>211</v>
      </c>
      <c r="E515" s="27">
        <f aca="true" t="shared" si="80" ref="E515:E521">F515+I515</f>
        <v>0</v>
      </c>
      <c r="F515" s="27"/>
      <c r="G515" s="27"/>
      <c r="H515" s="27"/>
      <c r="I515" s="27"/>
      <c r="J515" s="27"/>
      <c r="K515" s="27"/>
      <c r="L515" s="27"/>
      <c r="M515" s="27"/>
      <c r="N515" s="27"/>
      <c r="O515" s="27"/>
      <c r="P515" s="26">
        <f>E515+J515</f>
        <v>0</v>
      </c>
      <c r="Q515" s="54"/>
      <c r="W515" s="54"/>
    </row>
    <row r="516" spans="1:23" s="3" customFormat="1" ht="23.25" customHeight="1" hidden="1">
      <c r="A516" s="9"/>
      <c r="B516" s="9"/>
      <c r="C516" s="9"/>
      <c r="D516" s="4" t="s">
        <v>202</v>
      </c>
      <c r="E516" s="27">
        <f t="shared" si="80"/>
        <v>62592</v>
      </c>
      <c r="F516" s="27">
        <v>62592</v>
      </c>
      <c r="G516" s="27"/>
      <c r="H516" s="27"/>
      <c r="I516" s="27"/>
      <c r="J516" s="27"/>
      <c r="K516" s="27"/>
      <c r="L516" s="27"/>
      <c r="M516" s="27"/>
      <c r="N516" s="27"/>
      <c r="O516" s="27"/>
      <c r="P516" s="26">
        <f t="shared" si="71"/>
        <v>62592</v>
      </c>
      <c r="Q516" s="54"/>
      <c r="W516" s="54"/>
    </row>
    <row r="517" spans="1:23" s="3" customFormat="1" ht="23.25" customHeight="1" hidden="1">
      <c r="A517" s="9"/>
      <c r="B517" s="9"/>
      <c r="C517" s="9"/>
      <c r="D517" s="70" t="s">
        <v>203</v>
      </c>
      <c r="E517" s="27">
        <f t="shared" si="80"/>
        <v>0</v>
      </c>
      <c r="F517" s="27"/>
      <c r="G517" s="27"/>
      <c r="H517" s="27"/>
      <c r="I517" s="27"/>
      <c r="J517" s="27"/>
      <c r="K517" s="27"/>
      <c r="L517" s="27"/>
      <c r="M517" s="27"/>
      <c r="N517" s="27"/>
      <c r="O517" s="27"/>
      <c r="P517" s="26">
        <f t="shared" si="71"/>
        <v>0</v>
      </c>
      <c r="Q517" s="54"/>
      <c r="W517" s="54"/>
    </row>
    <row r="518" spans="1:23" s="3" customFormat="1" ht="24.75" customHeight="1" hidden="1">
      <c r="A518" s="9"/>
      <c r="B518" s="9"/>
      <c r="C518" s="9"/>
      <c r="D518" s="4" t="s">
        <v>102</v>
      </c>
      <c r="E518" s="27">
        <f t="shared" si="80"/>
        <v>0</v>
      </c>
      <c r="F518" s="27"/>
      <c r="G518" s="27"/>
      <c r="H518" s="27"/>
      <c r="I518" s="27"/>
      <c r="J518" s="27"/>
      <c r="K518" s="27"/>
      <c r="L518" s="27"/>
      <c r="M518" s="27"/>
      <c r="N518" s="27"/>
      <c r="O518" s="27"/>
      <c r="P518" s="26">
        <f t="shared" si="71"/>
        <v>0</v>
      </c>
      <c r="Q518" s="54"/>
      <c r="W518" s="54"/>
    </row>
    <row r="519" spans="1:23" s="3" customFormat="1" ht="51" hidden="1">
      <c r="A519" s="9"/>
      <c r="B519" s="9"/>
      <c r="C519" s="9"/>
      <c r="D519" s="4" t="s">
        <v>219</v>
      </c>
      <c r="E519" s="27">
        <f t="shared" si="80"/>
        <v>21146</v>
      </c>
      <c r="F519" s="27">
        <v>21146</v>
      </c>
      <c r="G519" s="27"/>
      <c r="H519" s="27"/>
      <c r="I519" s="27"/>
      <c r="J519" s="27"/>
      <c r="K519" s="27"/>
      <c r="L519" s="27"/>
      <c r="M519" s="27"/>
      <c r="N519" s="27"/>
      <c r="O519" s="27"/>
      <c r="P519" s="26">
        <f t="shared" si="71"/>
        <v>21146</v>
      </c>
      <c r="Q519" s="54"/>
      <c r="W519" s="54"/>
    </row>
    <row r="520" spans="1:23" s="3" customFormat="1" ht="12.75" hidden="1">
      <c r="A520" s="9"/>
      <c r="B520" s="9"/>
      <c r="C520" s="9"/>
      <c r="D520" s="4" t="s">
        <v>442</v>
      </c>
      <c r="E520" s="27">
        <f t="shared" si="80"/>
        <v>96149</v>
      </c>
      <c r="F520" s="27">
        <f>76525+19624</f>
        <v>96149</v>
      </c>
      <c r="G520" s="27"/>
      <c r="H520" s="27"/>
      <c r="I520" s="27"/>
      <c r="J520" s="27"/>
      <c r="K520" s="27"/>
      <c r="L520" s="27"/>
      <c r="M520" s="27"/>
      <c r="N520" s="27"/>
      <c r="O520" s="27"/>
      <c r="P520" s="26">
        <f t="shared" si="71"/>
        <v>96149</v>
      </c>
      <c r="Q520" s="54"/>
      <c r="W520" s="54"/>
    </row>
    <row r="521" spans="1:23" s="3" customFormat="1" ht="24.75" customHeight="1" hidden="1">
      <c r="A521" s="9"/>
      <c r="B521" s="9"/>
      <c r="C521" s="9"/>
      <c r="D521" s="39" t="s">
        <v>96</v>
      </c>
      <c r="E521" s="27">
        <f t="shared" si="80"/>
        <v>3384</v>
      </c>
      <c r="F521" s="27">
        <v>3384</v>
      </c>
      <c r="G521" s="27"/>
      <c r="H521" s="27"/>
      <c r="I521" s="27"/>
      <c r="J521" s="27"/>
      <c r="K521" s="27"/>
      <c r="L521" s="27"/>
      <c r="M521" s="27"/>
      <c r="N521" s="27"/>
      <c r="O521" s="27"/>
      <c r="P521" s="26">
        <f t="shared" si="71"/>
        <v>3384</v>
      </c>
      <c r="Q521" s="54"/>
      <c r="W521" s="54"/>
    </row>
    <row r="522" spans="1:23" s="19" customFormat="1" ht="33.75" customHeight="1">
      <c r="A522" s="23"/>
      <c r="B522" s="23" t="s">
        <v>159</v>
      </c>
      <c r="C522" s="23"/>
      <c r="D522" s="20" t="s">
        <v>133</v>
      </c>
      <c r="E522" s="31">
        <f>E523+E525+E531+E533+E529</f>
        <v>5809982</v>
      </c>
      <c r="F522" s="31">
        <f>F523+F525+F531+F533+F529</f>
        <v>5809982</v>
      </c>
      <c r="G522" s="31">
        <f aca="true" t="shared" si="81" ref="G522:M522">G523+G525+G531+G533</f>
        <v>2717745</v>
      </c>
      <c r="H522" s="31">
        <f t="shared" si="81"/>
        <v>563963</v>
      </c>
      <c r="I522" s="31"/>
      <c r="J522" s="31">
        <f aca="true" t="shared" si="82" ref="J522:J528">K522+N522</f>
        <v>623087</v>
      </c>
      <c r="K522" s="31">
        <f>K523+K525+K531+K533</f>
        <v>135699</v>
      </c>
      <c r="L522" s="31">
        <f t="shared" si="81"/>
        <v>0</v>
      </c>
      <c r="M522" s="31">
        <f t="shared" si="81"/>
        <v>0</v>
      </c>
      <c r="N522" s="31">
        <f>N523+N525+N531+N533+N527</f>
        <v>487388</v>
      </c>
      <c r="O522" s="31">
        <f>O523+O525+O531+O533+O527</f>
        <v>487388</v>
      </c>
      <c r="P522" s="31">
        <f t="shared" si="71"/>
        <v>6433069</v>
      </c>
      <c r="Q522" s="54"/>
      <c r="W522" s="54"/>
    </row>
    <row r="523" spans="1:23" s="3" customFormat="1" ht="12.75">
      <c r="A523" s="14"/>
      <c r="B523" s="14" t="s">
        <v>363</v>
      </c>
      <c r="C523" s="14"/>
      <c r="D523" s="12" t="s">
        <v>364</v>
      </c>
      <c r="E523" s="27">
        <f>E524</f>
        <v>4696273</v>
      </c>
      <c r="F523" s="27">
        <f>F524</f>
        <v>4696273</v>
      </c>
      <c r="G523" s="27">
        <f>G524</f>
        <v>2717745</v>
      </c>
      <c r="H523" s="27">
        <f>H524</f>
        <v>563088</v>
      </c>
      <c r="I523" s="27"/>
      <c r="J523" s="27">
        <f t="shared" si="82"/>
        <v>69265</v>
      </c>
      <c r="K523" s="27">
        <f>K524</f>
        <v>69265</v>
      </c>
      <c r="L523" s="27">
        <f>L524</f>
        <v>0</v>
      </c>
      <c r="M523" s="27">
        <f>M524</f>
        <v>0</v>
      </c>
      <c r="N523" s="27">
        <f>N524</f>
        <v>0</v>
      </c>
      <c r="O523" s="27">
        <f>O524</f>
        <v>0</v>
      </c>
      <c r="P523" s="27">
        <f t="shared" si="71"/>
        <v>4765538</v>
      </c>
      <c r="Q523" s="54"/>
      <c r="W523" s="54"/>
    </row>
    <row r="524" spans="1:23" s="5" customFormat="1" ht="12.75">
      <c r="A524" s="16"/>
      <c r="B524" s="16" t="s">
        <v>248</v>
      </c>
      <c r="C524" s="16" t="s">
        <v>4</v>
      </c>
      <c r="D524" s="2" t="s">
        <v>249</v>
      </c>
      <c r="E524" s="27">
        <f>F524+I524</f>
        <v>4696273</v>
      </c>
      <c r="F524" s="27">
        <f>4680309+19296-3332</f>
        <v>4696273</v>
      </c>
      <c r="G524" s="27">
        <f>2703409+14336</f>
        <v>2717745</v>
      </c>
      <c r="H524" s="27">
        <f>566420-3332</f>
        <v>563088</v>
      </c>
      <c r="I524" s="27"/>
      <c r="J524" s="27">
        <f t="shared" si="82"/>
        <v>69265</v>
      </c>
      <c r="K524" s="27">
        <v>69265</v>
      </c>
      <c r="L524" s="27"/>
      <c r="M524" s="27"/>
      <c r="N524" s="27">
        <f>O524</f>
        <v>0</v>
      </c>
      <c r="O524" s="27"/>
      <c r="P524" s="27">
        <f t="shared" si="71"/>
        <v>4765538</v>
      </c>
      <c r="Q524" s="54"/>
      <c r="W524" s="54"/>
    </row>
    <row r="525" spans="1:23" s="3" customFormat="1" ht="12.75">
      <c r="A525" s="9"/>
      <c r="B525" s="9" t="s">
        <v>375</v>
      </c>
      <c r="C525" s="9"/>
      <c r="D525" s="4" t="s">
        <v>376</v>
      </c>
      <c r="E525" s="27">
        <f>E526</f>
        <v>923290</v>
      </c>
      <c r="F525" s="27">
        <f>F526</f>
        <v>923290</v>
      </c>
      <c r="G525" s="27">
        <f aca="true" t="shared" si="83" ref="G525:O525">G526</f>
        <v>0</v>
      </c>
      <c r="H525" s="27">
        <f t="shared" si="83"/>
        <v>875</v>
      </c>
      <c r="I525" s="27"/>
      <c r="J525" s="27">
        <f t="shared" si="82"/>
        <v>37398</v>
      </c>
      <c r="K525" s="27">
        <f t="shared" si="83"/>
        <v>0</v>
      </c>
      <c r="L525" s="27">
        <f t="shared" si="83"/>
        <v>0</v>
      </c>
      <c r="M525" s="27">
        <f t="shared" si="83"/>
        <v>0</v>
      </c>
      <c r="N525" s="27">
        <f t="shared" si="83"/>
        <v>37398</v>
      </c>
      <c r="O525" s="27">
        <f t="shared" si="83"/>
        <v>37398</v>
      </c>
      <c r="P525" s="27">
        <f t="shared" si="71"/>
        <v>960688</v>
      </c>
      <c r="Q525" s="54"/>
      <c r="W525" s="54"/>
    </row>
    <row r="526" spans="1:23" s="3" customFormat="1" ht="12.75">
      <c r="A526" s="9"/>
      <c r="B526" s="9" t="s">
        <v>93</v>
      </c>
      <c r="C526" s="9" t="s">
        <v>37</v>
      </c>
      <c r="D526" s="4" t="s">
        <v>97</v>
      </c>
      <c r="E526" s="27">
        <f>F526+I526</f>
        <v>923290</v>
      </c>
      <c r="F526" s="27">
        <f>174080+685928+63282</f>
        <v>923290</v>
      </c>
      <c r="G526" s="27"/>
      <c r="H526" s="27">
        <v>875</v>
      </c>
      <c r="I526" s="27"/>
      <c r="J526" s="27">
        <f t="shared" si="82"/>
        <v>37398</v>
      </c>
      <c r="K526" s="27"/>
      <c r="L526" s="27"/>
      <c r="M526" s="27"/>
      <c r="N526" s="27">
        <f>O526</f>
        <v>37398</v>
      </c>
      <c r="O526" s="27">
        <v>37398</v>
      </c>
      <c r="P526" s="27">
        <f t="shared" si="71"/>
        <v>960688</v>
      </c>
      <c r="Q526" s="54"/>
      <c r="W526" s="54"/>
    </row>
    <row r="527" spans="1:23" s="3" customFormat="1" ht="12.75">
      <c r="A527" s="9"/>
      <c r="B527" s="9" t="s">
        <v>367</v>
      </c>
      <c r="C527" s="9"/>
      <c r="D527" s="4" t="s">
        <v>282</v>
      </c>
      <c r="E527" s="27"/>
      <c r="F527" s="27"/>
      <c r="G527" s="27"/>
      <c r="H527" s="27"/>
      <c r="I527" s="27"/>
      <c r="J527" s="27">
        <f t="shared" si="82"/>
        <v>449990</v>
      </c>
      <c r="K527" s="27"/>
      <c r="L527" s="27"/>
      <c r="M527" s="27"/>
      <c r="N527" s="27">
        <f>N528</f>
        <v>449990</v>
      </c>
      <c r="O527" s="27">
        <f>O528</f>
        <v>449990</v>
      </c>
      <c r="P527" s="27">
        <f t="shared" si="71"/>
        <v>449990</v>
      </c>
      <c r="Q527" s="54"/>
      <c r="W527" s="54"/>
    </row>
    <row r="528" spans="1:23" s="3" customFormat="1" ht="12.75">
      <c r="A528" s="9"/>
      <c r="B528" s="9" t="s">
        <v>338</v>
      </c>
      <c r="C528" s="9" t="s">
        <v>6</v>
      </c>
      <c r="D528" s="4" t="s">
        <v>339</v>
      </c>
      <c r="E528" s="27"/>
      <c r="F528" s="27"/>
      <c r="G528" s="27"/>
      <c r="H528" s="27"/>
      <c r="I528" s="27"/>
      <c r="J528" s="27">
        <f t="shared" si="82"/>
        <v>449990</v>
      </c>
      <c r="K528" s="27"/>
      <c r="L528" s="27"/>
      <c r="M528" s="27"/>
      <c r="N528" s="27">
        <f>O528</f>
        <v>449990</v>
      </c>
      <c r="O528" s="27">
        <v>449990</v>
      </c>
      <c r="P528" s="27">
        <f t="shared" si="71"/>
        <v>449990</v>
      </c>
      <c r="Q528" s="54"/>
      <c r="W528" s="54"/>
    </row>
    <row r="529" spans="1:23" s="3" customFormat="1" ht="38.25" hidden="1">
      <c r="A529" s="40"/>
      <c r="B529" s="40">
        <v>210000</v>
      </c>
      <c r="C529" s="40"/>
      <c r="D529" s="61" t="s">
        <v>351</v>
      </c>
      <c r="E529" s="27">
        <f>E530</f>
        <v>0</v>
      </c>
      <c r="F529" s="27">
        <f>F530</f>
        <v>0</v>
      </c>
      <c r="G529" s="27"/>
      <c r="H529" s="27"/>
      <c r="I529" s="27"/>
      <c r="J529" s="27"/>
      <c r="K529" s="27"/>
      <c r="L529" s="27"/>
      <c r="M529" s="27"/>
      <c r="N529" s="27"/>
      <c r="O529" s="27"/>
      <c r="P529" s="27">
        <f t="shared" si="71"/>
        <v>0</v>
      </c>
      <c r="Q529" s="54"/>
      <c r="W529" s="54"/>
    </row>
    <row r="530" spans="1:23" s="3" customFormat="1" ht="38.25" hidden="1">
      <c r="A530" s="40"/>
      <c r="B530" s="40" t="s">
        <v>284</v>
      </c>
      <c r="C530" s="40"/>
      <c r="D530" s="75" t="s">
        <v>240</v>
      </c>
      <c r="E530" s="27">
        <f>F530+I530</f>
        <v>0</v>
      </c>
      <c r="F530" s="27"/>
      <c r="G530" s="27"/>
      <c r="H530" s="27"/>
      <c r="I530" s="27"/>
      <c r="J530" s="27"/>
      <c r="K530" s="27"/>
      <c r="L530" s="27"/>
      <c r="M530" s="27"/>
      <c r="N530" s="27"/>
      <c r="O530" s="27"/>
      <c r="P530" s="27">
        <f t="shared" si="71"/>
        <v>0</v>
      </c>
      <c r="Q530" s="54"/>
      <c r="W530" s="54"/>
    </row>
    <row r="531" spans="1:23" s="3" customFormat="1" ht="12.75">
      <c r="A531" s="9"/>
      <c r="B531" s="9" t="s">
        <v>370</v>
      </c>
      <c r="C531" s="9"/>
      <c r="D531" s="4" t="s">
        <v>374</v>
      </c>
      <c r="E531" s="27">
        <f>E532</f>
        <v>0</v>
      </c>
      <c r="F531" s="27"/>
      <c r="G531" s="27">
        <f aca="true" t="shared" si="84" ref="G531:O531">G532</f>
        <v>0</v>
      </c>
      <c r="H531" s="27">
        <f t="shared" si="84"/>
        <v>0</v>
      </c>
      <c r="I531" s="27"/>
      <c r="J531" s="27">
        <f t="shared" si="84"/>
        <v>66434</v>
      </c>
      <c r="K531" s="27">
        <f>K532</f>
        <v>66434</v>
      </c>
      <c r="L531" s="27">
        <f t="shared" si="84"/>
        <v>0</v>
      </c>
      <c r="M531" s="27">
        <f t="shared" si="84"/>
        <v>0</v>
      </c>
      <c r="N531" s="27">
        <f t="shared" si="84"/>
        <v>0</v>
      </c>
      <c r="O531" s="27">
        <f t="shared" si="84"/>
        <v>0</v>
      </c>
      <c r="P531" s="27">
        <f t="shared" si="71"/>
        <v>66434</v>
      </c>
      <c r="Q531" s="54"/>
      <c r="W531" s="54"/>
    </row>
    <row r="532" spans="1:23" s="3" customFormat="1" ht="79.5" customHeight="1">
      <c r="A532" s="9"/>
      <c r="B532" s="9" t="s">
        <v>286</v>
      </c>
      <c r="C532" s="9" t="s">
        <v>7</v>
      </c>
      <c r="D532" s="75" t="s">
        <v>100</v>
      </c>
      <c r="E532" s="27"/>
      <c r="F532" s="27"/>
      <c r="G532" s="27"/>
      <c r="H532" s="27"/>
      <c r="I532" s="27"/>
      <c r="J532" s="27">
        <f>K532+N532</f>
        <v>66434</v>
      </c>
      <c r="K532" s="27">
        <f>50000+16434</f>
        <v>66434</v>
      </c>
      <c r="L532" s="27"/>
      <c r="M532" s="27"/>
      <c r="N532" s="27"/>
      <c r="O532" s="27"/>
      <c r="P532" s="27">
        <f t="shared" si="71"/>
        <v>66434</v>
      </c>
      <c r="Q532" s="54"/>
      <c r="W532" s="54"/>
    </row>
    <row r="533" spans="1:23" s="3" customFormat="1" ht="27" customHeight="1">
      <c r="A533" s="9"/>
      <c r="B533" s="9" t="s">
        <v>372</v>
      </c>
      <c r="C533" s="9"/>
      <c r="D533" s="61" t="s">
        <v>373</v>
      </c>
      <c r="E533" s="27">
        <f>E534</f>
        <v>190419</v>
      </c>
      <c r="F533" s="27">
        <f>F534</f>
        <v>190419</v>
      </c>
      <c r="G533" s="27">
        <f aca="true" t="shared" si="85" ref="G533:O533">G534</f>
        <v>0</v>
      </c>
      <c r="H533" s="27">
        <f t="shared" si="85"/>
        <v>0</v>
      </c>
      <c r="I533" s="27"/>
      <c r="J533" s="27">
        <f t="shared" si="85"/>
        <v>0</v>
      </c>
      <c r="K533" s="27">
        <f t="shared" si="85"/>
        <v>0</v>
      </c>
      <c r="L533" s="27">
        <f t="shared" si="85"/>
        <v>0</v>
      </c>
      <c r="M533" s="27">
        <f t="shared" si="85"/>
        <v>0</v>
      </c>
      <c r="N533" s="27">
        <f t="shared" si="85"/>
        <v>0</v>
      </c>
      <c r="O533" s="27">
        <f t="shared" si="85"/>
        <v>0</v>
      </c>
      <c r="P533" s="27">
        <f t="shared" si="71"/>
        <v>190419</v>
      </c>
      <c r="Q533" s="54"/>
      <c r="W533" s="54"/>
    </row>
    <row r="534" spans="1:23" s="3" customFormat="1" ht="12.75">
      <c r="A534" s="9"/>
      <c r="B534" s="9" t="s">
        <v>287</v>
      </c>
      <c r="C534" s="9" t="s">
        <v>7</v>
      </c>
      <c r="D534" s="4" t="s">
        <v>316</v>
      </c>
      <c r="E534" s="27">
        <f>SUM(E535:E542)</f>
        <v>190419</v>
      </c>
      <c r="F534" s="27">
        <f>SUM(F535:F542)</f>
        <v>190419</v>
      </c>
      <c r="G534" s="27"/>
      <c r="H534" s="27"/>
      <c r="I534" s="27"/>
      <c r="J534" s="27"/>
      <c r="K534" s="27"/>
      <c r="L534" s="27"/>
      <c r="M534" s="27"/>
      <c r="N534" s="27"/>
      <c r="O534" s="27"/>
      <c r="P534" s="27">
        <f t="shared" si="71"/>
        <v>190419</v>
      </c>
      <c r="Q534" s="54"/>
      <c r="W534" s="54"/>
    </row>
    <row r="535" spans="1:23" s="3" customFormat="1" ht="38.25" hidden="1">
      <c r="A535" s="9"/>
      <c r="B535" s="9"/>
      <c r="C535" s="9"/>
      <c r="D535" s="4" t="s">
        <v>179</v>
      </c>
      <c r="E535" s="27">
        <f>F535+I535</f>
        <v>94521</v>
      </c>
      <c r="F535" s="27">
        <v>94521</v>
      </c>
      <c r="G535" s="27"/>
      <c r="H535" s="27"/>
      <c r="I535" s="27"/>
      <c r="J535" s="27"/>
      <c r="K535" s="27"/>
      <c r="L535" s="27"/>
      <c r="M535" s="27"/>
      <c r="N535" s="27"/>
      <c r="O535" s="27"/>
      <c r="P535" s="27">
        <f t="shared" si="71"/>
        <v>94521</v>
      </c>
      <c r="Q535" s="54"/>
      <c r="W535" s="54"/>
    </row>
    <row r="536" spans="1:23" s="3" customFormat="1" ht="57" customHeight="1" hidden="1">
      <c r="A536" s="83"/>
      <c r="B536" s="83"/>
      <c r="C536" s="83"/>
      <c r="D536" s="4" t="s">
        <v>182</v>
      </c>
      <c r="E536" s="27">
        <f aca="true" t="shared" si="86" ref="E536:E542">F536+I536</f>
        <v>0</v>
      </c>
      <c r="F536" s="85"/>
      <c r="G536" s="85"/>
      <c r="H536" s="85"/>
      <c r="I536" s="85"/>
      <c r="J536" s="85"/>
      <c r="K536" s="85"/>
      <c r="L536" s="85"/>
      <c r="M536" s="85"/>
      <c r="N536" s="85"/>
      <c r="O536" s="85"/>
      <c r="P536" s="27">
        <f t="shared" si="71"/>
        <v>0</v>
      </c>
      <c r="Q536" s="54"/>
      <c r="W536" s="54"/>
    </row>
    <row r="537" spans="1:23" s="3" customFormat="1" ht="24" customHeight="1" hidden="1">
      <c r="A537" s="83"/>
      <c r="B537" s="83"/>
      <c r="C537" s="83"/>
      <c r="D537" s="4" t="s">
        <v>202</v>
      </c>
      <c r="E537" s="27">
        <f t="shared" si="86"/>
        <v>25366</v>
      </c>
      <c r="F537" s="85">
        <v>25366</v>
      </c>
      <c r="G537" s="85"/>
      <c r="H537" s="85"/>
      <c r="I537" s="85"/>
      <c r="J537" s="85"/>
      <c r="K537" s="85"/>
      <c r="L537" s="85"/>
      <c r="M537" s="85"/>
      <c r="N537" s="85"/>
      <c r="O537" s="85"/>
      <c r="P537" s="85">
        <f aca="true" t="shared" si="87" ref="P537:P562">E537+J537</f>
        <v>25366</v>
      </c>
      <c r="Q537" s="54"/>
      <c r="W537" s="54"/>
    </row>
    <row r="538" spans="1:23" s="3" customFormat="1" ht="24" customHeight="1" hidden="1">
      <c r="A538" s="83"/>
      <c r="B538" s="83"/>
      <c r="C538" s="83"/>
      <c r="D538" s="70" t="s">
        <v>203</v>
      </c>
      <c r="E538" s="27">
        <f t="shared" si="86"/>
        <v>0</v>
      </c>
      <c r="F538" s="85"/>
      <c r="G538" s="85"/>
      <c r="H538" s="85"/>
      <c r="I538" s="85"/>
      <c r="J538" s="85"/>
      <c r="K538" s="85"/>
      <c r="L538" s="85"/>
      <c r="M538" s="85"/>
      <c r="N538" s="85"/>
      <c r="O538" s="85"/>
      <c r="P538" s="85">
        <f t="shared" si="87"/>
        <v>0</v>
      </c>
      <c r="Q538" s="54"/>
      <c r="W538" s="54"/>
    </row>
    <row r="539" spans="1:23" s="3" customFormat="1" ht="24" customHeight="1" hidden="1">
      <c r="A539" s="83"/>
      <c r="B539" s="83"/>
      <c r="C539" s="83"/>
      <c r="D539" s="4" t="s">
        <v>102</v>
      </c>
      <c r="E539" s="27">
        <f t="shared" si="86"/>
        <v>0</v>
      </c>
      <c r="F539" s="85"/>
      <c r="G539" s="85"/>
      <c r="H539" s="85"/>
      <c r="I539" s="85"/>
      <c r="J539" s="85"/>
      <c r="K539" s="85"/>
      <c r="L539" s="85"/>
      <c r="M539" s="85"/>
      <c r="N539" s="85"/>
      <c r="O539" s="85"/>
      <c r="P539" s="85">
        <f t="shared" si="87"/>
        <v>0</v>
      </c>
      <c r="Q539" s="54"/>
      <c r="W539" s="54"/>
    </row>
    <row r="540" spans="1:23" s="3" customFormat="1" ht="51" hidden="1">
      <c r="A540" s="83"/>
      <c r="B540" s="83"/>
      <c r="C540" s="83"/>
      <c r="D540" s="4" t="s">
        <v>219</v>
      </c>
      <c r="E540" s="27">
        <f t="shared" si="86"/>
        <v>20000</v>
      </c>
      <c r="F540" s="85">
        <v>20000</v>
      </c>
      <c r="G540" s="85"/>
      <c r="H540" s="85"/>
      <c r="I540" s="85"/>
      <c r="J540" s="85"/>
      <c r="K540" s="85"/>
      <c r="L540" s="85"/>
      <c r="M540" s="85"/>
      <c r="N540" s="85"/>
      <c r="O540" s="85"/>
      <c r="P540" s="85">
        <f t="shared" si="87"/>
        <v>20000</v>
      </c>
      <c r="Q540" s="54"/>
      <c r="W540" s="54"/>
    </row>
    <row r="541" spans="1:23" s="3" customFormat="1" ht="12.75" hidden="1">
      <c r="A541" s="83"/>
      <c r="B541" s="83"/>
      <c r="C541" s="83"/>
      <c r="D541" s="4" t="s">
        <v>442</v>
      </c>
      <c r="E541" s="27">
        <f t="shared" si="86"/>
        <v>50532</v>
      </c>
      <c r="F541" s="85">
        <f>37227+13305</f>
        <v>50532</v>
      </c>
      <c r="G541" s="85"/>
      <c r="H541" s="85"/>
      <c r="I541" s="85"/>
      <c r="J541" s="85"/>
      <c r="K541" s="85"/>
      <c r="L541" s="85"/>
      <c r="M541" s="85"/>
      <c r="N541" s="85"/>
      <c r="O541" s="85"/>
      <c r="P541" s="85">
        <f t="shared" si="87"/>
        <v>50532</v>
      </c>
      <c r="Q541" s="54"/>
      <c r="W541" s="54"/>
    </row>
    <row r="542" spans="1:23" s="3" customFormat="1" ht="24" customHeight="1" hidden="1">
      <c r="A542" s="83"/>
      <c r="B542" s="83"/>
      <c r="C542" s="83"/>
      <c r="D542" s="39" t="s">
        <v>96</v>
      </c>
      <c r="E542" s="27">
        <f t="shared" si="86"/>
        <v>0</v>
      </c>
      <c r="F542" s="85"/>
      <c r="G542" s="85"/>
      <c r="H542" s="85"/>
      <c r="I542" s="85"/>
      <c r="J542" s="85"/>
      <c r="K542" s="85"/>
      <c r="L542" s="85"/>
      <c r="M542" s="85"/>
      <c r="N542" s="85"/>
      <c r="O542" s="85"/>
      <c r="P542" s="85">
        <f t="shared" si="87"/>
        <v>0</v>
      </c>
      <c r="Q542" s="54"/>
      <c r="W542" s="54"/>
    </row>
    <row r="543" spans="1:23" s="19" customFormat="1" ht="37.5" customHeight="1">
      <c r="A543" s="23"/>
      <c r="B543" s="23" t="s">
        <v>160</v>
      </c>
      <c r="C543" s="23"/>
      <c r="D543" s="20" t="s">
        <v>134</v>
      </c>
      <c r="E543" s="31">
        <f>E544+E546+E550+E554+E552</f>
        <v>5621770</v>
      </c>
      <c r="F543" s="31">
        <f>F544+F546+F550+F554+F552</f>
        <v>5621770</v>
      </c>
      <c r="G543" s="31">
        <f aca="true" t="shared" si="88" ref="G543:M543">G544+G546+G550+G554</f>
        <v>2859857</v>
      </c>
      <c r="H543" s="31">
        <f t="shared" si="88"/>
        <v>432932</v>
      </c>
      <c r="I543" s="31"/>
      <c r="J543" s="31">
        <f aca="true" t="shared" si="89" ref="J543:J549">K543+N543</f>
        <v>576285</v>
      </c>
      <c r="K543" s="31">
        <f t="shared" si="88"/>
        <v>50285</v>
      </c>
      <c r="L543" s="31">
        <f t="shared" si="88"/>
        <v>0</v>
      </c>
      <c r="M543" s="31">
        <f t="shared" si="88"/>
        <v>0</v>
      </c>
      <c r="N543" s="31">
        <f>N544+N546+N550+N554+N548</f>
        <v>526000</v>
      </c>
      <c r="O543" s="31">
        <f>O544+O546+O550+O554+O548</f>
        <v>526000</v>
      </c>
      <c r="P543" s="31">
        <f t="shared" si="87"/>
        <v>6198055</v>
      </c>
      <c r="Q543" s="54"/>
      <c r="W543" s="54"/>
    </row>
    <row r="544" spans="1:23" s="3" customFormat="1" ht="12.75">
      <c r="A544" s="71"/>
      <c r="B544" s="71" t="s">
        <v>363</v>
      </c>
      <c r="C544" s="71"/>
      <c r="D544" s="72" t="s">
        <v>364</v>
      </c>
      <c r="E544" s="27">
        <f>E545</f>
        <v>4625893</v>
      </c>
      <c r="F544" s="27">
        <f>F545</f>
        <v>4625893</v>
      </c>
      <c r="G544" s="27">
        <f>G545</f>
        <v>2859857</v>
      </c>
      <c r="H544" s="27">
        <f>H545</f>
        <v>432932</v>
      </c>
      <c r="I544" s="27"/>
      <c r="J544" s="27">
        <f t="shared" si="89"/>
        <v>50285</v>
      </c>
      <c r="K544" s="27">
        <f>K545</f>
        <v>50285</v>
      </c>
      <c r="L544" s="27">
        <f>L545</f>
        <v>0</v>
      </c>
      <c r="M544" s="27">
        <f>M545</f>
        <v>0</v>
      </c>
      <c r="N544" s="27">
        <f>N545</f>
        <v>0</v>
      </c>
      <c r="O544" s="27">
        <f>O545</f>
        <v>0</v>
      </c>
      <c r="P544" s="27">
        <f t="shared" si="87"/>
        <v>4676178</v>
      </c>
      <c r="Q544" s="54"/>
      <c r="W544" s="54"/>
    </row>
    <row r="545" spans="1:23" s="5" customFormat="1" ht="12.75">
      <c r="A545" s="7"/>
      <c r="B545" s="7" t="s">
        <v>248</v>
      </c>
      <c r="C545" s="7" t="s">
        <v>4</v>
      </c>
      <c r="D545" s="73" t="s">
        <v>249</v>
      </c>
      <c r="E545" s="25">
        <f>F545+I545</f>
        <v>4625893</v>
      </c>
      <c r="F545" s="25">
        <f>4563005+62888</f>
        <v>4625893</v>
      </c>
      <c r="G545" s="25">
        <f>2813135+46722</f>
        <v>2859857</v>
      </c>
      <c r="H545" s="25">
        <v>432932</v>
      </c>
      <c r="I545" s="25"/>
      <c r="J545" s="27">
        <f t="shared" si="89"/>
        <v>50285</v>
      </c>
      <c r="K545" s="25">
        <v>50285</v>
      </c>
      <c r="L545" s="25"/>
      <c r="M545" s="25"/>
      <c r="N545" s="25">
        <f>O545</f>
        <v>0</v>
      </c>
      <c r="O545" s="25"/>
      <c r="P545" s="27">
        <f t="shared" si="87"/>
        <v>4676178</v>
      </c>
      <c r="Q545" s="54"/>
      <c r="W545" s="54"/>
    </row>
    <row r="546" spans="1:23" s="3" customFormat="1" ht="12.75">
      <c r="A546" s="9"/>
      <c r="B546" s="9" t="s">
        <v>375</v>
      </c>
      <c r="C546" s="9"/>
      <c r="D546" s="4" t="s">
        <v>376</v>
      </c>
      <c r="E546" s="27">
        <f>E547</f>
        <v>687883</v>
      </c>
      <c r="F546" s="27">
        <f>F547</f>
        <v>687883</v>
      </c>
      <c r="G546" s="27">
        <f aca="true" t="shared" si="90" ref="G546:O546">G547</f>
        <v>0</v>
      </c>
      <c r="H546" s="27">
        <f t="shared" si="90"/>
        <v>0</v>
      </c>
      <c r="I546" s="27"/>
      <c r="J546" s="27">
        <f t="shared" si="89"/>
        <v>0</v>
      </c>
      <c r="K546" s="27">
        <f t="shared" si="90"/>
        <v>0</v>
      </c>
      <c r="L546" s="27">
        <f t="shared" si="90"/>
        <v>0</v>
      </c>
      <c r="M546" s="27">
        <f t="shared" si="90"/>
        <v>0</v>
      </c>
      <c r="N546" s="27">
        <f t="shared" si="90"/>
        <v>0</v>
      </c>
      <c r="O546" s="27">
        <f t="shared" si="90"/>
        <v>0</v>
      </c>
      <c r="P546" s="27">
        <f t="shared" si="87"/>
        <v>687883</v>
      </c>
      <c r="Q546" s="54"/>
      <c r="W546" s="54"/>
    </row>
    <row r="547" spans="1:23" s="3" customFormat="1" ht="12.75">
      <c r="A547" s="9"/>
      <c r="B547" s="9" t="s">
        <v>93</v>
      </c>
      <c r="C547" s="9" t="s">
        <v>37</v>
      </c>
      <c r="D547" s="4" t="s">
        <v>97</v>
      </c>
      <c r="E547" s="27">
        <f>F547+I547</f>
        <v>687883</v>
      </c>
      <c r="F547" s="27">
        <f>67811+620072</f>
        <v>687883</v>
      </c>
      <c r="G547" s="27"/>
      <c r="H547" s="27"/>
      <c r="I547" s="27"/>
      <c r="J547" s="27">
        <f t="shared" si="89"/>
        <v>0</v>
      </c>
      <c r="K547" s="27"/>
      <c r="L547" s="27"/>
      <c r="M547" s="27"/>
      <c r="N547" s="27">
        <f>O547</f>
        <v>0</v>
      </c>
      <c r="O547" s="27"/>
      <c r="P547" s="27">
        <f t="shared" si="87"/>
        <v>687883</v>
      </c>
      <c r="Q547" s="54"/>
      <c r="W547" s="54"/>
    </row>
    <row r="548" spans="1:23" s="3" customFormat="1" ht="12.75">
      <c r="A548" s="9"/>
      <c r="B548" s="9" t="s">
        <v>367</v>
      </c>
      <c r="C548" s="9"/>
      <c r="D548" s="4" t="s">
        <v>282</v>
      </c>
      <c r="E548" s="27"/>
      <c r="F548" s="27"/>
      <c r="G548" s="27"/>
      <c r="H548" s="27"/>
      <c r="I548" s="27"/>
      <c r="J548" s="27">
        <f t="shared" si="89"/>
        <v>526000</v>
      </c>
      <c r="K548" s="27"/>
      <c r="L548" s="27"/>
      <c r="M548" s="27"/>
      <c r="N548" s="27">
        <f>O548</f>
        <v>526000</v>
      </c>
      <c r="O548" s="27">
        <f>O549</f>
        <v>526000</v>
      </c>
      <c r="P548" s="27">
        <f t="shared" si="87"/>
        <v>526000</v>
      </c>
      <c r="Q548" s="54"/>
      <c r="W548" s="54"/>
    </row>
    <row r="549" spans="1:23" s="3" customFormat="1" ht="12.75">
      <c r="A549" s="9"/>
      <c r="B549" s="9" t="s">
        <v>338</v>
      </c>
      <c r="C549" s="9" t="s">
        <v>6</v>
      </c>
      <c r="D549" s="4" t="s">
        <v>339</v>
      </c>
      <c r="E549" s="27"/>
      <c r="F549" s="27"/>
      <c r="G549" s="27"/>
      <c r="H549" s="27"/>
      <c r="I549" s="27"/>
      <c r="J549" s="27">
        <f t="shared" si="89"/>
        <v>526000</v>
      </c>
      <c r="K549" s="27"/>
      <c r="L549" s="27"/>
      <c r="M549" s="27"/>
      <c r="N549" s="27">
        <f>O549</f>
        <v>526000</v>
      </c>
      <c r="O549" s="27">
        <v>526000</v>
      </c>
      <c r="P549" s="27">
        <f t="shared" si="87"/>
        <v>526000</v>
      </c>
      <c r="Q549" s="54"/>
      <c r="W549" s="54"/>
    </row>
    <row r="550" spans="1:23" s="3" customFormat="1" ht="14.25" customHeight="1" hidden="1">
      <c r="A550" s="9"/>
      <c r="B550" s="9" t="s">
        <v>370</v>
      </c>
      <c r="C550" s="9"/>
      <c r="D550" s="4" t="s">
        <v>374</v>
      </c>
      <c r="E550" s="27">
        <f>E551</f>
        <v>0</v>
      </c>
      <c r="F550" s="27"/>
      <c r="G550" s="27">
        <f aca="true" t="shared" si="91" ref="G550:O550">G551</f>
        <v>0</v>
      </c>
      <c r="H550" s="27">
        <f t="shared" si="91"/>
        <v>0</v>
      </c>
      <c r="I550" s="27"/>
      <c r="J550" s="27">
        <f t="shared" si="91"/>
        <v>0</v>
      </c>
      <c r="K550" s="27">
        <f t="shared" si="91"/>
        <v>0</v>
      </c>
      <c r="L550" s="27">
        <f t="shared" si="91"/>
        <v>0</v>
      </c>
      <c r="M550" s="27">
        <f t="shared" si="91"/>
        <v>0</v>
      </c>
      <c r="N550" s="27">
        <f t="shared" si="91"/>
        <v>0</v>
      </c>
      <c r="O550" s="27">
        <f t="shared" si="91"/>
        <v>0</v>
      </c>
      <c r="P550" s="27">
        <f t="shared" si="87"/>
        <v>0</v>
      </c>
      <c r="Q550" s="54"/>
      <c r="W550" s="54"/>
    </row>
    <row r="551" spans="1:23" s="3" customFormat="1" ht="25.5" customHeight="1" hidden="1">
      <c r="A551" s="9"/>
      <c r="B551" s="9" t="s">
        <v>286</v>
      </c>
      <c r="C551" s="9"/>
      <c r="D551" s="126" t="s">
        <v>100</v>
      </c>
      <c r="E551" s="27"/>
      <c r="F551" s="27"/>
      <c r="G551" s="27"/>
      <c r="H551" s="27"/>
      <c r="I551" s="27"/>
      <c r="J551" s="27">
        <f>K551+N551</f>
        <v>0</v>
      </c>
      <c r="K551" s="27"/>
      <c r="L551" s="27"/>
      <c r="M551" s="27"/>
      <c r="N551" s="27"/>
      <c r="O551" s="27"/>
      <c r="P551" s="27">
        <f t="shared" si="87"/>
        <v>0</v>
      </c>
      <c r="Q551" s="54"/>
      <c r="W551" s="54"/>
    </row>
    <row r="552" spans="1:23" s="3" customFormat="1" ht="25.5" customHeight="1" hidden="1">
      <c r="A552" s="40"/>
      <c r="B552" s="40">
        <v>210000</v>
      </c>
      <c r="C552" s="40"/>
      <c r="D552" s="61" t="s">
        <v>351</v>
      </c>
      <c r="E552" s="27">
        <f>E553</f>
        <v>0</v>
      </c>
      <c r="F552" s="27">
        <f>F553</f>
        <v>0</v>
      </c>
      <c r="G552" s="27"/>
      <c r="H552" s="27"/>
      <c r="I552" s="27"/>
      <c r="J552" s="27"/>
      <c r="K552" s="27"/>
      <c r="L552" s="27"/>
      <c r="M552" s="27"/>
      <c r="N552" s="27"/>
      <c r="O552" s="27"/>
      <c r="P552" s="27">
        <f t="shared" si="87"/>
        <v>0</v>
      </c>
      <c r="Q552" s="54"/>
      <c r="W552" s="54"/>
    </row>
    <row r="553" spans="1:23" s="3" customFormat="1" ht="25.5" customHeight="1" hidden="1">
      <c r="A553" s="40"/>
      <c r="B553" s="40" t="s">
        <v>284</v>
      </c>
      <c r="C553" s="40"/>
      <c r="D553" s="75" t="s">
        <v>240</v>
      </c>
      <c r="E553" s="27">
        <f>F553+I553</f>
        <v>0</v>
      </c>
      <c r="F553" s="27"/>
      <c r="G553" s="27"/>
      <c r="H553" s="27"/>
      <c r="I553" s="27"/>
      <c r="J553" s="27"/>
      <c r="K553" s="27"/>
      <c r="L553" s="27"/>
      <c r="M553" s="27"/>
      <c r="N553" s="27"/>
      <c r="O553" s="27"/>
      <c r="P553" s="27">
        <f t="shared" si="87"/>
        <v>0</v>
      </c>
      <c r="Q553" s="54"/>
      <c r="W553" s="54"/>
    </row>
    <row r="554" spans="1:23" s="3" customFormat="1" ht="26.25" customHeight="1">
      <c r="A554" s="9"/>
      <c r="B554" s="9" t="s">
        <v>372</v>
      </c>
      <c r="C554" s="9"/>
      <c r="D554" s="126" t="s">
        <v>373</v>
      </c>
      <c r="E554" s="27">
        <f aca="true" t="shared" si="92" ref="E554:O554">E555</f>
        <v>307994</v>
      </c>
      <c r="F554" s="27">
        <f t="shared" si="92"/>
        <v>307994</v>
      </c>
      <c r="G554" s="27">
        <f t="shared" si="92"/>
        <v>0</v>
      </c>
      <c r="H554" s="27">
        <f t="shared" si="92"/>
        <v>0</v>
      </c>
      <c r="I554" s="27"/>
      <c r="J554" s="27">
        <f t="shared" si="92"/>
        <v>0</v>
      </c>
      <c r="K554" s="27">
        <f t="shared" si="92"/>
        <v>0</v>
      </c>
      <c r="L554" s="27">
        <f>L555</f>
        <v>0</v>
      </c>
      <c r="M554" s="27">
        <f t="shared" si="92"/>
        <v>0</v>
      </c>
      <c r="N554" s="27">
        <f t="shared" si="92"/>
        <v>0</v>
      </c>
      <c r="O554" s="27">
        <f t="shared" si="92"/>
        <v>0</v>
      </c>
      <c r="P554" s="27">
        <f t="shared" si="87"/>
        <v>307994</v>
      </c>
      <c r="Q554" s="54"/>
      <c r="W554" s="54"/>
    </row>
    <row r="555" spans="1:23" s="3" customFormat="1" ht="12.75">
      <c r="A555" s="9"/>
      <c r="B555" s="9" t="s">
        <v>287</v>
      </c>
      <c r="C555" s="9" t="s">
        <v>7</v>
      </c>
      <c r="D555" s="4" t="s">
        <v>316</v>
      </c>
      <c r="E555" s="27">
        <f>E556+E557+E559+E560+E562+E558+E561</f>
        <v>307994</v>
      </c>
      <c r="F555" s="27">
        <f>F556+F557+F559+F560+F562+F558+F561</f>
        <v>307994</v>
      </c>
      <c r="G555" s="27"/>
      <c r="H555" s="27"/>
      <c r="I555" s="27"/>
      <c r="J555" s="27">
        <f aca="true" t="shared" si="93" ref="J555:O555">J556+J557+J559</f>
        <v>0</v>
      </c>
      <c r="K555" s="27">
        <f t="shared" si="93"/>
        <v>0</v>
      </c>
      <c r="L555" s="27">
        <f t="shared" si="93"/>
        <v>0</v>
      </c>
      <c r="M555" s="27">
        <f t="shared" si="93"/>
        <v>0</v>
      </c>
      <c r="N555" s="27">
        <f t="shared" si="93"/>
        <v>0</v>
      </c>
      <c r="O555" s="27">
        <f t="shared" si="93"/>
        <v>0</v>
      </c>
      <c r="P555" s="27">
        <f t="shared" si="87"/>
        <v>307994</v>
      </c>
      <c r="Q555" s="54"/>
      <c r="W555" s="54"/>
    </row>
    <row r="556" spans="1:23" s="3" customFormat="1" ht="38.25" hidden="1">
      <c r="A556" s="9"/>
      <c r="B556" s="9"/>
      <c r="C556" s="9"/>
      <c r="D556" s="4" t="s">
        <v>179</v>
      </c>
      <c r="E556" s="27">
        <f>F556+I556</f>
        <v>132330</v>
      </c>
      <c r="F556" s="27">
        <v>132330</v>
      </c>
      <c r="G556" s="27"/>
      <c r="H556" s="27"/>
      <c r="I556" s="27"/>
      <c r="J556" s="27"/>
      <c r="K556" s="27"/>
      <c r="L556" s="27"/>
      <c r="M556" s="27"/>
      <c r="N556" s="27"/>
      <c r="O556" s="27"/>
      <c r="P556" s="27">
        <f t="shared" si="87"/>
        <v>132330</v>
      </c>
      <c r="Q556" s="54"/>
      <c r="W556" s="54"/>
    </row>
    <row r="557" spans="1:23" s="3" customFormat="1" ht="25.5" hidden="1">
      <c r="A557" s="9"/>
      <c r="B557" s="9"/>
      <c r="C557" s="9"/>
      <c r="D557" s="4" t="s">
        <v>202</v>
      </c>
      <c r="E557" s="27">
        <f aca="true" t="shared" si="94" ref="E557:E562">F557+I557</f>
        <v>80000</v>
      </c>
      <c r="F557" s="27">
        <v>80000</v>
      </c>
      <c r="G557" s="27"/>
      <c r="H557" s="27"/>
      <c r="I557" s="27"/>
      <c r="J557" s="27"/>
      <c r="K557" s="27"/>
      <c r="L557" s="27"/>
      <c r="M557" s="27"/>
      <c r="N557" s="27"/>
      <c r="O557" s="27"/>
      <c r="P557" s="27">
        <f t="shared" si="87"/>
        <v>80000</v>
      </c>
      <c r="Q557" s="54"/>
      <c r="W557" s="54"/>
    </row>
    <row r="558" spans="1:23" s="3" customFormat="1" ht="25.5" hidden="1">
      <c r="A558" s="9"/>
      <c r="B558" s="9"/>
      <c r="C558" s="9"/>
      <c r="D558" s="70" t="s">
        <v>203</v>
      </c>
      <c r="E558" s="27">
        <f t="shared" si="94"/>
        <v>0</v>
      </c>
      <c r="F558" s="27"/>
      <c r="G558" s="27"/>
      <c r="H558" s="27"/>
      <c r="I558" s="27"/>
      <c r="J558" s="27"/>
      <c r="K558" s="27"/>
      <c r="L558" s="27"/>
      <c r="M558" s="27"/>
      <c r="N558" s="27"/>
      <c r="O558" s="27"/>
      <c r="P558" s="27">
        <f t="shared" si="87"/>
        <v>0</v>
      </c>
      <c r="Q558" s="54"/>
      <c r="W558" s="54"/>
    </row>
    <row r="559" spans="1:23" s="3" customFormat="1" ht="25.5" hidden="1">
      <c r="A559" s="9"/>
      <c r="B559" s="9"/>
      <c r="C559" s="9"/>
      <c r="D559" s="4" t="s">
        <v>102</v>
      </c>
      <c r="E559" s="27">
        <f t="shared" si="94"/>
        <v>0</v>
      </c>
      <c r="F559" s="27"/>
      <c r="G559" s="27"/>
      <c r="H559" s="27"/>
      <c r="I559" s="27"/>
      <c r="J559" s="27">
        <f>K559+N559</f>
        <v>0</v>
      </c>
      <c r="K559" s="27"/>
      <c r="L559" s="27"/>
      <c r="M559" s="27"/>
      <c r="N559" s="27"/>
      <c r="O559" s="27"/>
      <c r="P559" s="27">
        <f t="shared" si="87"/>
        <v>0</v>
      </c>
      <c r="Q559" s="54"/>
      <c r="W559" s="54"/>
    </row>
    <row r="560" spans="1:23" s="3" customFormat="1" ht="51" hidden="1">
      <c r="A560" s="9"/>
      <c r="B560" s="9"/>
      <c r="C560" s="9"/>
      <c r="D560" s="4" t="s">
        <v>219</v>
      </c>
      <c r="E560" s="27">
        <f t="shared" si="94"/>
        <v>20000</v>
      </c>
      <c r="F560" s="27">
        <v>20000</v>
      </c>
      <c r="G560" s="27"/>
      <c r="H560" s="27"/>
      <c r="I560" s="27"/>
      <c r="J560" s="27"/>
      <c r="K560" s="27"/>
      <c r="L560" s="27"/>
      <c r="M560" s="27"/>
      <c r="N560" s="27"/>
      <c r="O560" s="27"/>
      <c r="P560" s="27">
        <f t="shared" si="87"/>
        <v>20000</v>
      </c>
      <c r="Q560" s="54"/>
      <c r="W560" s="54"/>
    </row>
    <row r="561" spans="1:23" s="3" customFormat="1" ht="12.75" hidden="1">
      <c r="A561" s="9"/>
      <c r="B561" s="9"/>
      <c r="C561" s="9"/>
      <c r="D561" s="4" t="s">
        <v>442</v>
      </c>
      <c r="E561" s="27">
        <f t="shared" si="94"/>
        <v>73630</v>
      </c>
      <c r="F561" s="27">
        <f>73630</f>
        <v>73630</v>
      </c>
      <c r="G561" s="27"/>
      <c r="H561" s="27"/>
      <c r="I561" s="27"/>
      <c r="J561" s="27"/>
      <c r="K561" s="27"/>
      <c r="L561" s="27"/>
      <c r="M561" s="27"/>
      <c r="N561" s="27"/>
      <c r="O561" s="27"/>
      <c r="P561" s="27">
        <f t="shared" si="87"/>
        <v>73630</v>
      </c>
      <c r="Q561" s="54"/>
      <c r="W561" s="54"/>
    </row>
    <row r="562" spans="1:23" s="3" customFormat="1" ht="24" hidden="1">
      <c r="A562" s="9"/>
      <c r="B562" s="9"/>
      <c r="C562" s="9"/>
      <c r="D562" s="39" t="s">
        <v>96</v>
      </c>
      <c r="E562" s="27">
        <f t="shared" si="94"/>
        <v>2034</v>
      </c>
      <c r="F562" s="27">
        <v>2034</v>
      </c>
      <c r="G562" s="27"/>
      <c r="H562" s="27"/>
      <c r="I562" s="27"/>
      <c r="J562" s="27"/>
      <c r="K562" s="27"/>
      <c r="L562" s="27"/>
      <c r="M562" s="27"/>
      <c r="N562" s="27"/>
      <c r="O562" s="27"/>
      <c r="P562" s="27">
        <f t="shared" si="87"/>
        <v>2034</v>
      </c>
      <c r="Q562" s="54"/>
      <c r="W562" s="54"/>
    </row>
    <row r="563" spans="1:26" ht="18.75" customHeight="1">
      <c r="A563" s="18"/>
      <c r="B563" s="18"/>
      <c r="C563" s="18"/>
      <c r="D563" s="127" t="s">
        <v>292</v>
      </c>
      <c r="E563" s="31">
        <f aca="true" t="shared" si="95" ref="E563:P563">E11+E412+E434+E455+E475+E497+E522+E543+E215+E37+E89+E118+E210+E366+E298+E240+E218+E344+E309+E328+E320+E392+E405+E374+E323+E253+E237</f>
        <v>3374873253</v>
      </c>
      <c r="F563" s="31">
        <f t="shared" si="95"/>
        <v>3359573253</v>
      </c>
      <c r="G563" s="31">
        <f t="shared" si="95"/>
        <v>1006050477</v>
      </c>
      <c r="H563" s="31">
        <f t="shared" si="95"/>
        <v>269340016</v>
      </c>
      <c r="I563" s="31">
        <f t="shared" si="95"/>
        <v>0</v>
      </c>
      <c r="J563" s="31">
        <f t="shared" si="95"/>
        <v>748216112</v>
      </c>
      <c r="K563" s="31">
        <f t="shared" si="95"/>
        <v>67260028</v>
      </c>
      <c r="L563" s="31">
        <f t="shared" si="95"/>
        <v>16728268</v>
      </c>
      <c r="M563" s="31">
        <f t="shared" si="95"/>
        <v>3702912</v>
      </c>
      <c r="N563" s="31">
        <f t="shared" si="95"/>
        <v>680956084</v>
      </c>
      <c r="O563" s="31">
        <f t="shared" si="95"/>
        <v>648528517</v>
      </c>
      <c r="P563" s="31">
        <f t="shared" si="95"/>
        <v>4123089365</v>
      </c>
      <c r="Q563" s="54"/>
      <c r="S563" s="60"/>
      <c r="W563" s="54"/>
      <c r="X563" s="60"/>
      <c r="Z563" s="60"/>
    </row>
    <row r="564" spans="1:16" ht="11.25" customHeight="1">
      <c r="A564" s="116"/>
      <c r="B564" s="116"/>
      <c r="C564" s="116"/>
      <c r="D564" s="117"/>
      <c r="E564" s="118"/>
      <c r="F564" s="118"/>
      <c r="G564" s="118"/>
      <c r="H564" s="118"/>
      <c r="I564" s="118"/>
      <c r="J564" s="118"/>
      <c r="K564" s="118"/>
      <c r="L564" s="118"/>
      <c r="M564" s="118"/>
      <c r="N564" s="118"/>
      <c r="O564" s="118"/>
      <c r="P564" s="119"/>
    </row>
    <row r="565" spans="1:16" ht="12.75">
      <c r="A565" s="120"/>
      <c r="B565" s="120"/>
      <c r="C565" s="120"/>
      <c r="D565" s="121"/>
      <c r="E565" s="122"/>
      <c r="F565" s="122"/>
      <c r="G565" s="123"/>
      <c r="H565" s="123"/>
      <c r="I565" s="123"/>
      <c r="J565" s="123"/>
      <c r="K565" s="123"/>
      <c r="L565" s="123"/>
      <c r="M565" s="123"/>
      <c r="N565" s="123"/>
      <c r="O565" s="123"/>
      <c r="P565" s="5"/>
    </row>
    <row r="566" spans="1:16" ht="12.75" hidden="1">
      <c r="A566" s="124"/>
      <c r="B566" s="124"/>
      <c r="C566" s="124"/>
      <c r="D566" s="5"/>
      <c r="E566" s="5"/>
      <c r="F566" s="5"/>
      <c r="G566" s="5"/>
      <c r="H566" s="5"/>
      <c r="I566" s="5"/>
      <c r="J566" s="5"/>
      <c r="K566" s="5"/>
      <c r="L566" s="5"/>
      <c r="M566" s="5"/>
      <c r="N566" s="5"/>
      <c r="O566" s="5"/>
      <c r="P566" s="5"/>
    </row>
    <row r="567" spans="1:16" ht="24" customHeight="1">
      <c r="A567" s="46"/>
      <c r="B567" s="184" t="s">
        <v>184</v>
      </c>
      <c r="C567" s="184"/>
      <c r="D567" s="184"/>
      <c r="E567" s="132"/>
      <c r="F567" s="132"/>
      <c r="G567" s="133"/>
      <c r="H567" s="134"/>
      <c r="I567" s="134"/>
      <c r="K567" s="125"/>
      <c r="L567" s="131"/>
      <c r="M567" s="156" t="s">
        <v>185</v>
      </c>
      <c r="N567" s="125"/>
      <c r="O567" s="125"/>
      <c r="P567" s="125"/>
    </row>
    <row r="568" ht="88.5" customHeight="1">
      <c r="O568" s="60"/>
    </row>
    <row r="569" spans="1:22" ht="12.75">
      <c r="A569" s="108"/>
      <c r="B569" s="108"/>
      <c r="C569" s="108"/>
      <c r="E569" s="60"/>
      <c r="F569" s="60"/>
      <c r="G569" s="60"/>
      <c r="H569" s="60"/>
      <c r="I569" s="60"/>
      <c r="J569" s="60"/>
      <c r="K569" s="60"/>
      <c r="L569" s="60"/>
      <c r="M569" s="60"/>
      <c r="N569" s="60"/>
      <c r="O569" s="60"/>
      <c r="P569" s="60"/>
      <c r="Q569" s="60"/>
      <c r="R569" s="60"/>
      <c r="S569" s="60"/>
      <c r="T569" s="60"/>
      <c r="U569" s="60"/>
      <c r="V569" s="60"/>
    </row>
    <row r="570" spans="1:16" ht="12.75">
      <c r="A570" s="108"/>
      <c r="B570" s="108"/>
      <c r="C570" s="108"/>
      <c r="E570" s="60"/>
      <c r="F570" s="60"/>
      <c r="J570" s="60"/>
      <c r="K570" s="60"/>
      <c r="L570" s="60"/>
      <c r="M570" s="60"/>
      <c r="N570" s="60"/>
      <c r="O570" s="60"/>
      <c r="P570" s="60"/>
    </row>
    <row r="571" spans="1:16" ht="12.75">
      <c r="A571" s="108"/>
      <c r="B571" s="108"/>
      <c r="C571" s="108"/>
      <c r="E571" s="60"/>
      <c r="F571" s="60"/>
      <c r="G571" s="60"/>
      <c r="H571" s="60"/>
      <c r="I571" s="60"/>
      <c r="J571" s="60"/>
      <c r="K571" s="60"/>
      <c r="L571" s="60"/>
      <c r="M571" s="60"/>
      <c r="N571" s="60"/>
      <c r="O571" s="60"/>
      <c r="P571" s="60"/>
    </row>
    <row r="572" spans="5:10" ht="12.75">
      <c r="E572" s="60"/>
      <c r="F572" s="60"/>
      <c r="J572" s="67"/>
    </row>
    <row r="573" spans="1:15" ht="12.75">
      <c r="A573" s="108"/>
      <c r="B573" s="108"/>
      <c r="C573" s="108"/>
      <c r="E573" s="60"/>
      <c r="F573" s="60"/>
      <c r="G573" s="60"/>
      <c r="H573" s="60"/>
      <c r="I573" s="60"/>
      <c r="J573" s="60"/>
      <c r="N573"/>
      <c r="O573" s="60"/>
    </row>
    <row r="576" ht="12.75">
      <c r="E576" s="60"/>
    </row>
    <row r="577" spans="2:16" ht="12.75">
      <c r="B577" s="108"/>
      <c r="E577" s="60"/>
      <c r="F577" s="60"/>
      <c r="G577" s="60"/>
      <c r="H577" s="60"/>
      <c r="I577" s="60"/>
      <c r="J577" s="60"/>
      <c r="K577" s="60"/>
      <c r="L577" s="60"/>
      <c r="M577" s="60"/>
      <c r="N577" s="60"/>
      <c r="O577" s="60"/>
      <c r="P577" s="60"/>
    </row>
  </sheetData>
  <sheetProtection/>
  <mergeCells count="22">
    <mergeCell ref="J7:O7"/>
    <mergeCell ref="F8:F9"/>
    <mergeCell ref="B567:D567"/>
    <mergeCell ref="G8:H8"/>
    <mergeCell ref="E8:E9"/>
    <mergeCell ref="K8:K9"/>
    <mergeCell ref="J8:J9"/>
    <mergeCell ref="B5:P5"/>
    <mergeCell ref="O6:P6"/>
    <mergeCell ref="P7:P9"/>
    <mergeCell ref="J1:K1"/>
    <mergeCell ref="J2:K2"/>
    <mergeCell ref="L8:M8"/>
    <mergeCell ref="N8:N9"/>
    <mergeCell ref="J3:K3"/>
    <mergeCell ref="C7:C9"/>
    <mergeCell ref="B4:P4"/>
    <mergeCell ref="A7:A9"/>
    <mergeCell ref="B7:B9"/>
    <mergeCell ref="D7:D9"/>
    <mergeCell ref="E7:I7"/>
    <mergeCell ref="I8:I9"/>
  </mergeCells>
  <printOptions/>
  <pageMargins left="0.9055118110236221" right="0.35433070866141736" top="1.13" bottom="0.3937007874015748" header="0.3937007874015748" footer="0.3937007874015748"/>
  <pageSetup fitToHeight="58" fitToWidth="1" horizontalDpi="600" verticalDpi="600" orientation="landscape" paperSize="9" scale="57" r:id="rId1"/>
  <headerFooter alignWithMargins="0">
    <oddHeader>&amp;C&amp;P</oddHeader>
  </headerFooter>
  <rowBreaks count="1" manualBreakCount="1">
    <brk id="1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2015-06-12T10:38:17Z</cp:lastPrinted>
  <dcterms:created xsi:type="dcterms:W3CDTF">2002-01-02T08:54:19Z</dcterms:created>
  <dcterms:modified xsi:type="dcterms:W3CDTF">2015-07-09T08:01:30Z</dcterms:modified>
  <cp:category/>
  <cp:version/>
  <cp:contentType/>
  <cp:contentStatus/>
</cp:coreProperties>
</file>