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80" windowHeight="8190" activeTab="0"/>
  </bookViews>
  <sheets>
    <sheet name="березень" sheetId="1" r:id="rId1"/>
    <sheet name="180409" sheetId="2" r:id="rId2"/>
  </sheets>
  <externalReferences>
    <externalReference r:id="rId5"/>
  </externalReferences>
  <definedNames>
    <definedName name="_xlnm.Print_Titles" localSheetId="1">'180409'!$10:$10</definedName>
    <definedName name="_xlnm.Print_Titles" localSheetId="0">'березень'!$9:$9</definedName>
    <definedName name="_xlnm.Print_Area" localSheetId="1">'180409'!$A$1:$I$457</definedName>
    <definedName name="_xlnm.Print_Area" localSheetId="0">'березень'!$A$1:$I$514</definedName>
  </definedNames>
  <calcPr fullCalcOnLoad="1"/>
</workbook>
</file>

<file path=xl/sharedStrings.xml><?xml version="1.0" encoding="utf-8"?>
<sst xmlns="http://schemas.openxmlformats.org/spreadsheetml/2006/main" count="2071" uniqueCount="534">
  <si>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</si>
  <si>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Реконструкція будівлі Міського Палацу дитячої та юнацької творчості по пл.Леніна ,1</t>
  </si>
  <si>
    <t>Реконструкція автошляхопроводу  по вул. Карпенка-Карого (проектні та будівельні роботи)</t>
  </si>
  <si>
    <t>Заходи, пов'язані з поліпшенням питної води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</si>
  <si>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</si>
  <si>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r>
      <t xml:space="preserve">Комунальне підприємство "Експлуатаційне лінійне управління автомобільних шляхів" </t>
    </r>
    <r>
      <rPr>
        <sz val="14"/>
        <rFont val="Times New Roman"/>
        <family val="1"/>
      </rPr>
      <t>(придбання фронтального навантажувача В-130 - 2 од., машини дорожньої МДКЗ-10 на шасі самоскида МАЗ-555102-220 (з щітковими, піскорозкидувальним обладнанням з відвалом) - 2 од., дорожньо-розміточної машини з самохідним приводом руху - 1 од., асфальтоукладача на гусеничному ходу з комплектацією - 1 од.)</t>
    </r>
  </si>
  <si>
    <t>Ремонтні та реставраційні роботи по будівлі комунального закладу охорони здоровья "Студентська поліклініка" по пр.Леніна, 59 м.Запоріжжя(проектні роботи)</t>
  </si>
  <si>
    <t>пр.40 річчя Перемоги,67</t>
  </si>
  <si>
    <t>вул. Кузнецова,34б</t>
  </si>
  <si>
    <t>вул.Перемоги, 131а</t>
  </si>
  <si>
    <t>вул.Чернівецька, 6</t>
  </si>
  <si>
    <t>вул.Дегтярьова, 5а</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</si>
  <si>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</si>
  <si>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 xml:space="preserve">Реконструкція Палацу спорту "Юність" в м. Запоріжжя"(проектні та будівельні роботи) </t>
  </si>
  <si>
    <t>Управління з питань екологічної безпеки Запорізької міської ради</t>
  </si>
  <si>
    <t>Реконструкція відділення мікрохірургії ока комунальної установи "Запорізька міська багатопрофільна клінічна лікарня №9 м.Запоріжжя"</t>
  </si>
  <si>
    <t>070806</t>
  </si>
  <si>
    <t>Телебачення і радіомовлення</t>
  </si>
  <si>
    <t>070803</t>
  </si>
  <si>
    <t>Забезпечення технічного нагляду за будівництвом і капітальним ремонтом та іншими окремими господарськими функціями</t>
  </si>
  <si>
    <t>Комунальне підприємство "Запоріжміськсвітло" (придбання автомобілів)</t>
  </si>
  <si>
    <t>Розробка схем та проектних рішень масового застосування</t>
  </si>
  <si>
    <t>розроблення містобудівної документації</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</si>
  <si>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</si>
  <si>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Реконструкція будівлі дошкільного навчального закладу № 285  по пр. 40-річчя Перемоги, 15а, Комунарського району (проектні та будівельні роботи)</t>
  </si>
  <si>
    <t>Будівництво теплиці "Запорізького міського ботанічного саду" І черга (проектні роботи та будівництво)</t>
  </si>
  <si>
    <t>Реконструкція будівлі дошкільного навчального закладу №186 по вул.12 Квітня, 2а (проектні та будівельні роботи)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</si>
  <si>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</si>
  <si>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</si>
  <si>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</si>
  <si>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</si>
  <si>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</si>
  <si>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</si>
  <si>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</si>
  <si>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</si>
  <si>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</si>
  <si>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Управління соціального захисту населення Запорізької міської ради</t>
  </si>
  <si>
    <t>вул.Тенісна, 11</t>
  </si>
  <si>
    <t xml:space="preserve">Реконструкція будівель та інженерних мереж комунальної установи «Міська клінічна лікарня екстреної та швидкої медичної допомоги м. Запоріжжя» по вул. Перемоги, 80 м.Запоріжжя (проектні та будівельні роботи) </t>
  </si>
  <si>
    <r>
      <rPr>
        <b/>
        <sz val="14"/>
        <rFont val="Times New Roman"/>
        <family val="1"/>
      </rPr>
      <t xml:space="preserve">Міське комунальне підприємство "Основаніє" </t>
    </r>
    <r>
      <rPr>
        <sz val="14"/>
        <rFont val="Times New Roman"/>
        <family val="1"/>
      </rPr>
      <t>(придбання трактору Беларусь 82.1 - 6 од., трактору Беларусь 320 МУ - 1 од., трактору Борекс - 2 од., причепу тракторного ПТС-4,5 - 10 од.придбання деревоподрібнюючої машини - 2од.)</t>
    </r>
  </si>
  <si>
    <t>КП "Титан" (придбання грузопасажирської Газелі ГАЗ 330273 4X4 - 1 од., пряжеприбиральної машини "Коваллучіо" - 1 од., машини дорожньої комбінованої МДКЗ - 10 - 1 од.,придбання памятних знаків "Запорізьким захисникам України" - 2 од.)</t>
  </si>
  <si>
    <t>Реконструкція скверу вул.Бочарова в Шевченківському районі м.Запоріжжя</t>
  </si>
  <si>
    <t>Інші заклади освіти</t>
  </si>
  <si>
    <t>Реконструкція фасаду житлового будинку по проспекту Леніна</t>
  </si>
  <si>
    <t>Реконструкція фасаду житлового будинку по проспекту Леніна, буд.193 в м.Запоріжжі</t>
  </si>
  <si>
    <t>Реконструкція фасаду житлового будинку по проспекту Леніна, буд.234 в м.Запоріжжі</t>
  </si>
  <si>
    <t>Реконструкція фасаду житлового будинку по проспекту Металургів, буд.4 в м.Запоріжжі</t>
  </si>
  <si>
    <t>Реконструкція фасаду житлового будинку по проспекту Металургів, буд.8 в м.Запоріжжі</t>
  </si>
  <si>
    <t>Реконструкція фасаду житлового будинку по вул. 40 років Радянської України, буд.21 в м.Запоріжжі</t>
  </si>
  <si>
    <t>Реконструкція фасаду житлового будинку по вул. 40 років Радянської України, буд.31 в м.Запоріжжі</t>
  </si>
  <si>
    <t xml:space="preserve"> Технічне переоснащення приміщень комунального закладу "Палацу культури "Орбіта" з встановленням систем пожежогасіння та системи пожежної сигналізації по вул. Лермонтова, 9 м.Запоріжжя</t>
  </si>
  <si>
    <t>Реконструкція каналізаційних мереж діаметром 150 мм від ж/б №218 по пр. Леніна до пр. Металургів м. Запоріжжя</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</si>
  <si>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 придбання 10-ти нових тролейбусів вітчизняного виробництва)</t>
  </si>
  <si>
    <t xml:space="preserve">Газифікація житлових будинків по вул. Шушенська в Ленінському районі м.Запоріжжя </t>
  </si>
  <si>
    <t>Реконструкція приміщень роздягальні та комп'ютерного класу навчально-виховного оздоровчого комплексу № 110 по вул. Стешенко, 19 Коммунарського району (проектні та будівельні роботи)</t>
  </si>
  <si>
    <t>Інші природоохоронні заходи</t>
  </si>
  <si>
    <t>Термомодернізація дошкільного навчального закладу (ясла-садок) № 126 «Суничка», вул.Патріотична, 40а м.Запоріжжя - реконструкція</t>
  </si>
  <si>
    <t>Реконструкція будівлі дошкільного навчального закладу № 77 по пр. Маяковського, 3б Орджонікідзевського району, м. Запоріжжя (проектні та будівельні роботи)</t>
  </si>
  <si>
    <t>Реконструкція частини будівлі під амбулаторію сімейного лікаря по вул. Воронезька, 10 в Хортицькому районі м. Запоріжжя</t>
  </si>
  <si>
    <t>Будівництво мереж зовнішнього освітлення по вул. Васильєва у м. Запоріжжі</t>
  </si>
  <si>
    <t>Будівництво мереж зовнішнього освітлення по вул. Грязнова у м. Запоріжжі</t>
  </si>
  <si>
    <t>Будівництво мереж зовнішнього освітлення  вулиці Камянсько-Дніпровська у м. Запоріжжя</t>
  </si>
  <si>
    <t>Будівництво мереж зовнішнього освітлення вулиці Салавата - Юлаєва у м. Запоріжжя</t>
  </si>
  <si>
    <t>Будівництво мереж зовнішнього освітлення по пров. Писарєва у м. Запоріжжя</t>
  </si>
  <si>
    <t>Будівництво мереж зовнішнього освітлення вулиці Байконурівська у м. Запоріжжя</t>
  </si>
  <si>
    <t>Будівництво мереж зовнішнього освітлення по вул. Сурікова у м. Запоріжжі</t>
  </si>
  <si>
    <t>Будівництво мереж зовнішнього освітлення по вул. Булавіна у м. Запоріжжі</t>
  </si>
  <si>
    <t>Будівництво мереж зовнішнього освітлення по вул. Колонтай у м. Запоріжжі</t>
  </si>
  <si>
    <t>Будівництво мереж зовнішнього освітлення по пров. Глибокий у м. 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</si>
  <si>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</si>
  <si>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по вул. Тимірязєва (від вул. 8 Березня до пров. Преснєнський) у м. Запоріжжі</t>
  </si>
  <si>
    <t>Будівництво мереж зовнішнього освітлення по вул. Каспійська (від вул. Відмінна до вул. Футбольна) у м. Запоріжжі</t>
  </si>
  <si>
    <t>Будівництво мереж зовнішнього освітлення по вул. Автодорівська у м. Запоріжжі</t>
  </si>
  <si>
    <t>Реконструкція мереж зовнішнього освітлення по вул. Яворицького   в  м. Запоріжжі (проектні роботи)</t>
  </si>
  <si>
    <t>Реконструкція мереж зовнішнього освітлення по вул. Шишкіна   в  м. Запоріжжі (проектні роботи)</t>
  </si>
  <si>
    <t>Реконструкція внутрішніх  інженерних мереж житлового будинку по пр. Леніна, 171-а в м. Запоріжжя</t>
  </si>
  <si>
    <t>Реконструкція внутрішніх  інженерних мереж житлового будинку по пр. Леніна, 173 в м. Запоріжжя</t>
  </si>
  <si>
    <t>Будівництво зливової каналізації в районі будинку № 5 по вул. Челябінській в м. Запоріжжі (проектні роботи, експертиза)</t>
  </si>
  <si>
    <t>Реконструкція  зливової каналізації в районі будинку № 18 по вул. Авраменка в м. Запоріжжі (проектні роботи, експертиза)</t>
  </si>
  <si>
    <t>Реконструкція автодороги вул. Марата від вул. Щасливої до вул. Адмірала Макарова в м. Запоріжжя (проектні роботи, експертиза)</t>
  </si>
  <si>
    <t>Реконструкція прогонових споруд підмостового автодорожнього проїзду дамби ім. Ленінського комсомолу по вул. Перемоги - вул. Яценко в м. Запоріжжі (проектні роботи, експертиза)</t>
  </si>
  <si>
    <t>Реконструкція пішохідного мосту через Вознесенівський спуск по вул. Перемоги - бул. Центральний в м. Запоріжжі (проектні роботи, експертиза)</t>
  </si>
  <si>
    <t>Реконструкція площі ім. Леніна в м. Запоріжжя (проектні робои та експертиза)</t>
  </si>
  <si>
    <t>вул. Н. Містечко, 19 гол. Фасад</t>
  </si>
  <si>
    <t>Видатки на проведення робіт, пов'язаних із будівництвом, реконструкцією, ремонтом  автомобільних доріг</t>
  </si>
  <si>
    <t>вул. Памірська, 91</t>
  </si>
  <si>
    <t>вул. 40- років Радянської України, 49</t>
  </si>
  <si>
    <t>бул. Центральний,3</t>
  </si>
  <si>
    <t>вул. Свердлова, 39</t>
  </si>
  <si>
    <t>пр. Леніна, 96</t>
  </si>
  <si>
    <t>вул. Задніпровська, 3б</t>
  </si>
  <si>
    <t>вул Рубана,13</t>
  </si>
  <si>
    <t>вул Чарівна, 34</t>
  </si>
  <si>
    <t>Будівництво спортивних майданчиків  (проектні та будівельні роботи), в тому числі за адресами:</t>
  </si>
  <si>
    <t>Будівництво дитячих майданчиків  (проектні та будівельні роботи), в тому числі за адресами:</t>
  </si>
  <si>
    <t>вул. Історична, 29</t>
  </si>
  <si>
    <t>вул. Глазунова, 6</t>
  </si>
  <si>
    <t>пр. Моторобудівників,2б</t>
  </si>
  <si>
    <t>Комунальне підприємство "Титан" (придбання пам'ятних знаків "Запорізьким захисникам України" - 2 од.)</t>
  </si>
  <si>
    <t>Реконструкція тротуару по вул. Новокузнецькій (непарна сторона) в м. Запоріжжі</t>
  </si>
  <si>
    <t>Реконструкція зливової каналізації від вул. Карпенко-Карого до вул. Листопрокатної в м. Запоріжжі</t>
  </si>
  <si>
    <t>Будівництво мереж зовнішнього освітлення  пров.Кедровий (від вул. Учительської до вул.Каспійської) у м. Запоріжжі (проектні та будівельні роботи)</t>
  </si>
  <si>
    <t>Будівництво мереж зовнішнього освітлення пров.Якутський (від вул. Панфьорова до вул. Паторжинського)  у м. Запоріжжі (проектні та будівельні роботи)</t>
  </si>
  <si>
    <t>Нове будівництво інформаційних систем та телекомунікаційних мереж в м. Запоріжжі</t>
  </si>
  <si>
    <t>Реконструкція центральної алеї скверу по пр. Ювілейному в Хортицькому районі м. Запоріжжя</t>
  </si>
  <si>
    <t>Реконструкція скверу ім. 30 річчя визволення України від фашиських загарбників по вул. Л. Чайкіної в м. Запоріжжя</t>
  </si>
  <si>
    <t>Реконструкція парку ім. Гагаріна в Комунарському районі м. Запоріжжя</t>
  </si>
  <si>
    <t>інші видатки</t>
  </si>
  <si>
    <t>придбання обладнання для ведення містобудівного кадастру</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</si>
  <si>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</si>
  <si>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внутрішніх інженерних мереж житлового будинку по пр. Леніна, 171 в м.Запоріжжя</t>
  </si>
  <si>
    <t xml:space="preserve">Реконструкція мереж зовнішнього освітлення по автодорозі від вул. Таганська з обох боків залізничного мосту та по споруді  мосту Преображенського (міст Преображенського, Н.Дніпро) у м.Запоріжжі </t>
  </si>
  <si>
    <t xml:space="preserve">Реконструкція мереж зовнішнього освітлення по вул. Міська та по споруді мосту Преображенського (міст Преображенського, С. Дніпро) у м.Запоріжжі </t>
  </si>
  <si>
    <t>0111</t>
  </si>
  <si>
    <t>0490</t>
  </si>
  <si>
    <t>0910</t>
  </si>
  <si>
    <t>0921</t>
  </si>
  <si>
    <t>0960</t>
  </si>
  <si>
    <t>0990</t>
  </si>
  <si>
    <t>0810</t>
  </si>
  <si>
    <t>0540</t>
  </si>
  <si>
    <t>0731</t>
  </si>
  <si>
    <t>0733</t>
  </si>
  <si>
    <t>0721</t>
  </si>
  <si>
    <t>0722</t>
  </si>
  <si>
    <t>0726</t>
  </si>
  <si>
    <t>1030</t>
  </si>
  <si>
    <t>1020</t>
  </si>
  <si>
    <t>0821</t>
  </si>
  <si>
    <t>0824</t>
  </si>
  <si>
    <t>0828</t>
  </si>
  <si>
    <t>0829</t>
  </si>
  <si>
    <t>0610</t>
  </si>
  <si>
    <t>0620</t>
  </si>
  <si>
    <t>1060</t>
  </si>
  <si>
    <t>0456</t>
  </si>
  <si>
    <t>0133</t>
  </si>
  <si>
    <t>0443</t>
  </si>
  <si>
    <t>0460</t>
  </si>
  <si>
    <t>0830</t>
  </si>
  <si>
    <t>0320</t>
  </si>
  <si>
    <t>0180</t>
  </si>
  <si>
    <t>вул. Ентузіастів, 3</t>
  </si>
  <si>
    <t>Реконструкція мереж зовнішнього освітлення по вул. Українська (від вул. Стефанова до вул. Семофорна, ТП-358) у м. Запоріжжі</t>
  </si>
  <si>
    <t>Будівництво мереж зовнішнього освітлення по вул. Столярна у м. Запоріжжі</t>
  </si>
  <si>
    <t>Термомодернізація загальноосвітньої школи І-ІІІ ступенів № 101 по вул.Бочарова, 10-б  м.Запоріжжя - реконструкція</t>
  </si>
  <si>
    <t>Реконструкція житлового будинку № 4  по пл.Профспілок м. Запоріжжя</t>
  </si>
  <si>
    <t>Реконструкція вулично-шляхової мережі по вул. Квітучій в межах від вул. Братської до вул. Вінницької в м.Запоріжжя (будівельні роботи)</t>
  </si>
  <si>
    <t>Будівництво мереж зовнішнього освітлення Прибережна магістраль (рятувальна станція КП"Титан") у м.Запоріжжі  (проектні роботи та експертиза)</t>
  </si>
  <si>
    <t>Реконструкція мереж зовнішнього освітлення  по вул.Халтуріна (з виходом на вул.Ялтинську) у м.Запоріжжі</t>
  </si>
  <si>
    <t>Реконструкція контактної мережі тролейбусу на повороті з вул.Південне шосе на вул.Седова в м. Запоріжжя</t>
  </si>
  <si>
    <t>Будівництво та встановлення оглядових веж на території КП "Міжнародний аеропорт "Запоріжжя" за адресою м.Запоріжжя, вул. Блакитна, буд.4</t>
  </si>
  <si>
    <t xml:space="preserve">Будівництво мереж освітлення на оглядових вежах КП "Міжнародний аеропорт "Запоріжжя" (вул.Блакитна,4) </t>
  </si>
  <si>
    <t>Будівництво спортивних майданчиків для занять паркуром в районі будинку №19 по вул.Південноукраїнській в м.Запоріжжі</t>
  </si>
  <si>
    <t>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(проектні роботи та експертиза)</t>
  </si>
  <si>
    <t>Спорудження (створення) пам'ятника Тарасу Григоровичу Шевченку в сквері Театральний між вул.Дзержинського та пр.Леніна м.Запоріжжя - нове будівництво</t>
  </si>
  <si>
    <t>Реконструкція скверу по вул.Бочарова - вул.Чарівній в Шевченківському районі м.Запоріжжя</t>
  </si>
  <si>
    <t>1921</t>
  </si>
  <si>
    <t>Реконструкція автошляхопроводу  по вул. Карпенка-Карого в м.Запоріжжя</t>
  </si>
  <si>
    <t>капітальний ремонт доріг</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</si>
  <si>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</si>
  <si>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</si>
  <si>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Реконструкція філії Центру надання адміністративних послуг Заводського району в м.Запоріжжя (проектні роботи)</t>
  </si>
  <si>
    <t>Реконструкція Центру надання адміністративних послуг Центральний по бул.Центральному, б.27 в м.Запоріжжя (проектні роботи)</t>
  </si>
  <si>
    <t>Реконструкція філії Центру надання адміністративних послуг Ленінського та Хортицького районів по вул.Кіяшко буд.22 в м.Запоріжжя (проектні роботи)</t>
  </si>
  <si>
    <t>Реконструкція філії Центру надання адміністративних послуг Комунарського району в м.Запоріжжя (проектні роботи)</t>
  </si>
  <si>
    <t>Будівництво мереж зовнішнього освітлення по вул. Тельмана (від вул. Кривоносова до залізничної колії АТ "Мотор Січ") у м. Запоріжжі</t>
  </si>
  <si>
    <t>Реконструкція скверу на площі Маяковського в м.Запоріжжі, присвяченого ліквідаторам Чорнобильської катастрофи (проектні роботи, експертиза)</t>
  </si>
  <si>
    <r>
      <rPr>
        <b/>
        <sz val="12"/>
        <color indexed="8"/>
        <rFont val="Arial"/>
        <family val="2"/>
      </rPr>
      <t>Комунальне ремонтно-будівельне підприємство "Зеленбуд"</t>
    </r>
    <r>
      <rPr>
        <sz val="12"/>
        <color indexed="8"/>
        <rFont val="Arial"/>
        <family val="2"/>
      </rPr>
      <t xml:space="preserve"> (придбання поливомийного автомобілю МДКЗ на базі  МАЗ - 2 од.,  екскаватор Борекс на базі трактора МТЗ - 1 од., трактор МТЗ - 2 од, установка для створення газонів методом гідровисіву - 1 од.)</t>
    </r>
  </si>
  <si>
    <t>Будівництво мереж зовнішнього освітлення внутрішньоквартальної території по вул Авраменка, 1-3 в м. Запоріжжі</t>
  </si>
  <si>
    <t>Будівництво мереж зовнішнього освітлення внутрішньоквартальної території по вул. Авраменко, 5 в м. Запоріжжі</t>
  </si>
  <si>
    <t>Будівництво мереж зовнішнього освітлення по вул. Димитрова (від вул. Харчова до траси Харків - Сімферополь) у м. Запоріжжі</t>
  </si>
  <si>
    <t>Будівництво мереж зовнішнього освітлення по вул. Початкова у м. Запоріжжі</t>
  </si>
  <si>
    <t>Встановлення типових мобільних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м.Запоріжжя</t>
  </si>
  <si>
    <t>Реконструкція мереж зовнішнього освітлення автодорожнього проїзду від пл.Леніна до греблі ДніпроГЕС (лівий берег р.Дніпро) у м.Запоріжжя</t>
  </si>
  <si>
    <t>Реконструкція мереж зовнішнього освітлення автодорожнього проїзду від греблі ДніпрГЕС до бул.Вінтера (правий берег р.Дніпро ТП-74) у м.Запоріжжі</t>
  </si>
  <si>
    <t>Реконструкція мереж зовнішнього освітлення автодорожнього проїзду по споруді греблі ДніпроГЕС у м.Запоріжжі</t>
  </si>
  <si>
    <t>Інспекція з благоустрою міської ради</t>
  </si>
  <si>
    <t>Ліквідація аварійного стану на дорожньому насипу проїжджої частини дороги по вул. Перемоги (в районі міської лікарні №6) в м.Запоріжжя</t>
  </si>
  <si>
    <t>Служба (управління) у справах дітей Запорізької міської ради</t>
  </si>
  <si>
    <t>Реконструкція приміщення спортивного комплексу на території дитячої спортивної та юнацької школи "Локомотив"</t>
  </si>
  <si>
    <t>Роботи пов`язані з поліпшенням технічного стану та благоустрою малої водойми ЦПКтаВ "Дубовий гай". Реконструкція</t>
  </si>
  <si>
    <t>Попередження створенню аварійного стану прибудови  комунального закладу Палац культури "Орбіта"</t>
  </si>
  <si>
    <t>Реконструкція горища під мансардний поверх або надбудову у житловому будинку № 42 по вул.40 Років Радянської України в м.Запоріжжя (проектні роботи, експертиза)</t>
  </si>
  <si>
    <t>Вертикальне планування в балці Капустянка біля житлового будинку № 30а по вул.Гагаріна в м.Запоріжжя - нове будівництво</t>
  </si>
  <si>
    <t>Реконструкція приміщення для розміщення особового складу воєнізованої охорони аеропорту м.Запоріжжя</t>
  </si>
  <si>
    <r>
      <rPr>
        <b/>
        <sz val="12"/>
        <color indexed="8"/>
        <rFont val="Arial"/>
        <family val="2"/>
      </rPr>
      <t>Комунальне підприємств</t>
    </r>
    <r>
      <rPr>
        <sz val="12"/>
        <color indexed="8"/>
        <rFont val="Arial"/>
        <family val="2"/>
      </rPr>
      <t xml:space="preserve">о </t>
    </r>
    <r>
      <rPr>
        <b/>
        <sz val="12"/>
        <color indexed="8"/>
        <rFont val="Arial"/>
        <family val="2"/>
      </rPr>
      <t xml:space="preserve">"Водоканал" </t>
    </r>
    <r>
      <rPr>
        <sz val="12"/>
        <color indexed="8"/>
        <rFont val="Arial"/>
        <family val="2"/>
      </rPr>
      <t>(каналопромивочна машина МАЗ -1 од., автоцистерна на шасі ГАЗ - 2 од., навантажувач-екскаватор - 2 од., система виготовлення робочого розчину сульфату амонію MixLine - 1 од., станція дозування  розчину - 1 од. комплексна каналізаційна насосона станція - 1од., матеріали для ремонту колектору)</t>
    </r>
  </si>
  <si>
    <t>Будівництво мереж зовнішнього освітлення вулиці  Косарєва (від вул. Билкіна  до вул. Автобусної) у м. Запоріжжі (проектні та будівельні роботи)</t>
  </si>
  <si>
    <t>Реконструкція  мереж зовнішнього освітлення на внутрішньоквартальній території по вул. Бородінська 2 етап ТП-885 в м.Запоріжжі</t>
  </si>
  <si>
    <t>Реконструкція каналізаційного колектору до КНС-1 по вул. Українській м.Запоріжжя</t>
  </si>
  <si>
    <t>Реконструкція павільйону - накопичувачу П-72 Літ.К.4 (будівля для обслуговування пасажирів на внутрішніх авіалініях)  КП "Міжнародний аеропорт Запоріжжя"</t>
  </si>
  <si>
    <t>Реконструкція автодорожніх проїздів та благоустрій території в районі ринку "Хортицький" в Хортицькому районі м.Запоріжжя</t>
  </si>
  <si>
    <r>
      <rPr>
        <b/>
        <sz val="12"/>
        <color indexed="8"/>
        <rFont val="Arial"/>
        <family val="2"/>
      </rPr>
      <t>КП "Титан"</t>
    </r>
    <r>
      <rPr>
        <sz val="12"/>
        <color indexed="8"/>
        <rFont val="Arial"/>
        <family val="2"/>
      </rPr>
      <t xml:space="preserve"> (придбання автомобілю спеціального призначення (вакуумна машина) - 1 од., автомобілю для перевезення вантажів - 1 од., пляжеприбиральної машини - 1 од., придбання памятних знаків "Запорізьким захисникам України" - 2 од., сміттєві контейнери - 13 од., модульних туалетних кабін - 7 од., )</t>
    </r>
  </si>
  <si>
    <r>
      <rPr>
        <b/>
        <sz val="12"/>
        <color indexed="8"/>
        <rFont val="Arial"/>
        <family val="2"/>
      </rPr>
      <t>Комунальне підприємство</t>
    </r>
    <r>
      <rPr>
        <sz val="12"/>
        <color indexed="8"/>
        <rFont val="Arial"/>
        <family val="2"/>
      </rPr>
      <t xml:space="preserve"> </t>
    </r>
    <r>
      <rPr>
        <b/>
        <sz val="12"/>
        <color indexed="8"/>
        <rFont val="Arial"/>
        <family val="2"/>
      </rPr>
      <t xml:space="preserve">"Запоріжміськсвітло" </t>
    </r>
    <r>
      <rPr>
        <sz val="12"/>
        <color indexed="8"/>
        <rFont val="Arial"/>
        <family val="2"/>
      </rPr>
      <t>(придбання станції диспетчерського пункту з програмним забезпеченням АРМ Міськсвітло - 1 од.,  автопідйомник з висотою підйому не менше 18 метрів - 2 од., мінітрактор з навісним обладнанням - 2 од.)</t>
    </r>
  </si>
  <si>
    <r>
      <rPr>
        <b/>
        <sz val="12"/>
        <rFont val="Arial"/>
        <family val="2"/>
      </rPr>
      <t xml:space="preserve">Міське комунальне підприємство "Основаніє" </t>
    </r>
    <r>
      <rPr>
        <sz val="12"/>
        <rFont val="Arial"/>
        <family val="2"/>
      </rPr>
      <t>(придбання трактору Беларусь 82.1 - 5 од., трактору Борекс - 2 од., причепу тракторного ПТС-4,5 - 2 од., придбання деревоподрібнюючої машини - 2од.)</t>
    </r>
  </si>
  <si>
    <t>Реконструкція будівлі котельні по вул.Карпенку-Карого, 21б, м.Запоріжжя (ліквідація аварійного стану)</t>
  </si>
  <si>
    <t>Реконструкція котельні по вул.Задніпровська, 7, м.Запоріжжя (ліквідація аварійного стану)</t>
  </si>
  <si>
    <r>
      <t xml:space="preserve">КП "Центр упрвління інформаційнии технологіями"  </t>
    </r>
    <r>
      <rPr>
        <sz val="12"/>
        <color indexed="8"/>
        <rFont val="Arial"/>
        <family val="2"/>
      </rPr>
      <t>(придбання системного блоку 1 од., процесору 1од, моніторів 2 од.)</t>
    </r>
  </si>
  <si>
    <t>Огородження та система технічного нагляду і контролю доступу по периметру охоронної зони обмеженого доступу КП "Міжнародний аеропорт Запоріжжя" (проектні роботи)</t>
  </si>
  <si>
    <t>Реконструкція будівлі по вул.Горького, 139 в м.Запоріжжі - демонтажні роботи</t>
  </si>
  <si>
    <t>Реконструкція бул.Будівельників у Хортицькому районі м.Запоріжжя</t>
  </si>
  <si>
    <r>
      <rPr>
        <b/>
        <sz val="12"/>
        <color indexed="8"/>
        <rFont val="Arial"/>
        <family val="2"/>
      </rPr>
      <t>Концерн "Міські теплові мережі"</t>
    </r>
    <r>
      <rPr>
        <sz val="12"/>
        <color indexed="8"/>
        <rFont val="Arial"/>
        <family val="2"/>
      </rPr>
      <t xml:space="preserve">  (екскаватор навантажувач з навісним обладнанням - 2 од.,  гідромолот - 1 од., компресор - 1 од. , дизельний генератор - 1 од., вантажопасажирський автомобіль ГАЗ  - 3 од., магнітогідродинамічний резонатор МГДР-ПМЦ-СА-150/80 - 1 од.)</t>
    </r>
  </si>
  <si>
    <r>
      <rPr>
        <b/>
        <sz val="12"/>
        <color indexed="8"/>
        <rFont val="Arial"/>
        <family val="2"/>
      </rPr>
      <t>Комунальне підприємство "Експлуатаційне лінійне управління автомобільних шляхів"</t>
    </r>
    <r>
      <rPr>
        <sz val="12"/>
        <color indexed="8"/>
        <rFont val="Arial"/>
        <family val="2"/>
      </rPr>
      <t xml:space="preserve"> </t>
    </r>
    <r>
      <rPr>
        <sz val="12"/>
        <rFont val="Arial"/>
        <family val="2"/>
      </rPr>
      <t>(придбання фронтального навантажувача - 1 од., асфальтоукладача на гусеничному ходу з комплектацією - 1 од., газель вантажопссажирська - 2 од., самоскид вантажопідйомністю до 20 т з поворотним відвалом - 1 од., зварювальний генератор - 1 од.,  зварювальний апарат-інвектор Енергомаш - 1 од., відбійний молоток - 1од., перфоратор - 1 од., самоскид до 30 т. - 2 од.)</t>
    </r>
  </si>
  <si>
    <t>0455</t>
  </si>
  <si>
    <t>Інші заходи у сфері електротранспорту</t>
  </si>
  <si>
    <t>Винос водогону з-під житлової забудови по вул.Першотравневій  (від вул. Кооперативної до вул.Української, 92)  в м.Запоріжжя</t>
  </si>
  <si>
    <t>Комунальне підприємство "Міжнародний аеропорт Запоріжжя" (придбання детектору вибухових речовин - 1 од., технологічний автомобіль - 2 од., установка наземного живлення - 1 од., установка повітряного запуску - 1 од., машина для антиожиледної обробки повітряних суден - 1 од.)</t>
  </si>
  <si>
    <t xml:space="preserve">Реконструкція світлофорного об'єкту на перехресті вул.Іванова-вул.Безіменна в м.Запоріжжя </t>
  </si>
  <si>
    <t>Реконструкція мереж зовнішнього освітлення по Прибрежній магістралі (від вул.Луначарського до р. Мокра Московка) у  м. Запоріжжі</t>
  </si>
  <si>
    <t>Реконструкція самопливного каналізаційного колектору від вул. Новгородська до ЦОС-2. Ділянка переходу дюкером під  вул. Задніпровська та залізницею</t>
  </si>
  <si>
    <t>Розширення і реконструкція центральних каналізаційних очисних споруд Лівого берега  (ЦОС-1). Технологічні трубопроводи (колектор К-28) м.Запоріжжя</t>
  </si>
  <si>
    <t xml:space="preserve">Реконструкція каналізаційного напірного колектору Д=710 мм від КНС-23. Ділянка №3 від вул. Істоміна до камери гасіння </t>
  </si>
  <si>
    <t>Реконструкція самопливного каналізаційного колектору по пр. Металургів від вул. Рекордної до вул. Лучєвої м.Запоріжжя</t>
  </si>
  <si>
    <t>Заходи щодо відновлення і підтримання сприятливого гідрологічного режиму та санітарного стану річок. Розчистка русла балки Поповка</t>
  </si>
  <si>
    <t>10.06.2015 №27</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</si>
  <si>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</si>
  <si>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</si>
  <si>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</si>
  <si>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</si>
  <si>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091204</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</si>
  <si>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</si>
  <si>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</si>
  <si>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</si>
  <si>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</si>
  <si>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</si>
  <si>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</si>
  <si>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</si>
  <si>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</si>
  <si>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</si>
  <si>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</si>
  <si>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</si>
  <si>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</si>
  <si>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</si>
  <si>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</si>
  <si>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</si>
  <si>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</si>
  <si>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</si>
  <si>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33</t>
  </si>
  <si>
    <t>Управління реєстрації та єдиного реєстру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</si>
  <si>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</si>
  <si>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</si>
  <si>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</si>
  <si>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</si>
  <si>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</si>
  <si>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</si>
  <si>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Виготовлення та встановлення памятника Т.Г. Шевченку в сквері Театральному м. Запоріжжя - нове будівництво</t>
  </si>
  <si>
    <t>Житловий будинок по пр. Леніна, 133  м. Запоріжжя - ліквідація  аварійного стану надбудови над аркою</t>
  </si>
  <si>
    <t>Будівництво мереж зовнішнього освітлення І мосту ім. Преображенського (новий Дніпро) у м.Запоріжжі (проектні та будівельні роботи)</t>
  </si>
  <si>
    <t>Житловий будинок по вул. Республіканській,185 - реконструкція  системи теплопостачання</t>
  </si>
  <si>
    <t>150118</t>
  </si>
  <si>
    <t>Житлове будівництво та придбання житла для окремих категорій населення</t>
  </si>
  <si>
    <t xml:space="preserve">Реконструкція частини будівлі під амбулаторію сімейного лікаря по вул. Воронезька, 10 в Хортицькому районі </t>
  </si>
  <si>
    <t>Інші субвенції</t>
  </si>
  <si>
    <t>Внески органів місцевого самоврядування у статутні капітали суб'єктів підприємницької діяльності</t>
  </si>
  <si>
    <t>Управління комунального господарства та  дорожнього будівництва  Запорізької міської ради</t>
  </si>
  <si>
    <t>070805</t>
  </si>
  <si>
    <t>Групи централізованого господарського обслуговування</t>
  </si>
  <si>
    <t>070802</t>
  </si>
  <si>
    <t>Методична робота, інші заходи у сфері народної освіти</t>
  </si>
  <si>
    <t xml:space="preserve">                                                                                                                                                                                                                                                                                                                                                                                                                                                                                                                                                                                                                                                                                                                                                                                                                                                                                                                                                                                                                                                                                </t>
  </si>
  <si>
    <t>Департамент житлового господарства та розподілу житлової площі Запорізької міської ради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</si>
  <si>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</si>
  <si>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</si>
  <si>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</si>
  <si>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</si>
  <si>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</si>
  <si>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</si>
  <si>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</si>
  <si>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</si>
  <si>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</si>
  <si>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</si>
  <si>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</si>
  <si>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</si>
  <si>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</si>
  <si>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Газифікація житлових будинків по вул. Шушенська в Ленінському районі м.Запоріжжя (проектні та будівельні роботи)</t>
  </si>
  <si>
    <t>Реконструкція ринку Соцміста КП "Запоріжринок" по вул. Рекордній, 2, у м. Запоріжжі (проектні та будівельні роботи)</t>
  </si>
  <si>
    <t xml:space="preserve">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 </t>
  </si>
  <si>
    <t xml:space="preserve">Газифікація житлових будинків № 7, 9, 10, 11, 12, 14 по вул. Пшеничній сел. Будівельників Шевченківського району м.Запоріжжя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</si>
  <si>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</si>
  <si>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</si>
  <si>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</si>
  <si>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</si>
  <si>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</si>
  <si>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</si>
  <si>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</si>
  <si>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</si>
  <si>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</si>
  <si>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</si>
  <si>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Реконструкція парку "Трудової слави" в м. Запоріжжі</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</si>
  <si>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</si>
  <si>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</si>
  <si>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</si>
  <si>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</si>
  <si>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Районна адміністрація Запорізької міської ради по Комунарському району</t>
  </si>
  <si>
    <t>Всього видатків</t>
  </si>
  <si>
    <t>Секретар міської ради</t>
  </si>
  <si>
    <t>Р.О.Таран</t>
  </si>
  <si>
    <t>капітальні видатки - погашення заборгованості за минулі роки</t>
  </si>
  <si>
    <t>вул.Узбекистанська, 5</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</si>
  <si>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</si>
  <si>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</si>
  <si>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</si>
  <si>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</si>
  <si>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бул. Вінтера,50 - реконструкція  </t>
  </si>
  <si>
    <t>Комунальне підприємство "Водоканал" (придбання екскаваторів-навантажувачів з комплектами навісного обладнання - 2 од)</t>
  </si>
  <si>
    <t>Періодичні видання (газети та журнали)</t>
  </si>
  <si>
    <t>080500</t>
  </si>
  <si>
    <t>Загальні і спеціалізовані стоматологічні поліклініки</t>
  </si>
  <si>
    <t>Комунальне підприємство "Зеленбуд" (придбання бензопил "STIHL" - 6 од., безопил "Мотор-Січ - 2 од., мотоножиць"STIHL" - 4 од., мотокіс "STIHL" - 15 од., висоторізів "STIHL" - 8 од.)</t>
  </si>
  <si>
    <t>в тому числі</t>
  </si>
  <si>
    <t>пр.Ювілейний,23А</t>
  </si>
  <si>
    <t xml:space="preserve">Комунальна установа «Запорізька міська багатопрофільна дитяча лікарня №5»  (відділення недоношених новонароджених)  - реконструкція  </t>
  </si>
  <si>
    <t>070202</t>
  </si>
  <si>
    <t>Вечірні (змінні) школи</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</si>
  <si>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</si>
  <si>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</si>
  <si>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</si>
  <si>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</si>
  <si>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130110</t>
  </si>
  <si>
    <t>Фінансова підтримка спортивних споруд</t>
  </si>
  <si>
    <t>130107</t>
  </si>
  <si>
    <t>Утримання та навчально-тренувальна робота дитячо-юнацьких спортивних шкіл</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</si>
  <si>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</si>
  <si>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 xml:space="preserve">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t>
  </si>
  <si>
    <r>
      <t>Будівництво зливової каналізації по вул. Іванова у Шевченківському районі м. Запоріжжя</t>
    </r>
    <r>
      <rPr>
        <strike/>
        <sz val="14"/>
        <rFont val="Times New Roman"/>
        <family val="1"/>
      </rPr>
      <t xml:space="preserve"> </t>
    </r>
  </si>
  <si>
    <t xml:space="preserve">Реконструкція пішохідного переходу через балку Маркусова від вул. Історичної до вул. Сеченова в м. Запоріжжі </t>
  </si>
  <si>
    <t>Будівництво спортивних майданчиків для занять паркуром в районі будинку №19 по вул. Південноукраїнській в м.Запоріжжі</t>
  </si>
  <si>
    <t>Комунальне підприємство "Запоріжміськсвітло" (придбання станції диспетчерського пункту з програмним забезпеченням АРМ Міськсвітло - 1 од.,  мінінавантажувача 745 Авант - 2 од., автопідіймача ВІПО-18-01 - 2 од.)</t>
  </si>
  <si>
    <t>Комунальне ремонтно-будівельне підприємство "Зеленбуд" (придбання поливомийного автомобілю МДКЗ-16-09  МАЗ-5337W - 4 од., самоскиду на базі шасі AC-G 3309-CC900мм - 2 од., тракторів МТЗ-82.1.26 - 2 од.)</t>
  </si>
  <si>
    <t xml:space="preserve">Реконструкція зливової каналізації по вул. Задніпровської в м. Запоріжжя (проектні роботи) </t>
  </si>
  <si>
    <t>Реконструкція самопливного каналізаційного колектору по пр. Металургів від вул. Рекордної до вул. Лучєвої</t>
  </si>
  <si>
    <t>Реконструкція  центральної алеї парку "Дубовий гай" в м. Запоріжжя</t>
  </si>
  <si>
    <t>48</t>
  </si>
  <si>
    <t>Департамент архітектури та містобудування Запорізької міської ради</t>
  </si>
  <si>
    <t>Термомодернізація будівлі комунальної установи "Центральна поліклініка Жовтневого району" по пр.Леніна, 88, м.Запоріжжя - реконструкція</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</si>
  <si>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</si>
  <si>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Нове будівництво триповерхової прибудови до будівлі класичного ліцею по вул.Правди, 23 м.Запоріжжя (проектні роботи)</t>
  </si>
  <si>
    <t>Нове будівництво дошкільного навчального закладу № 49 в мікрорайоні № 6 по вул.Бородинській в м.Запоріжжі (проектні роботи та експертиза)</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</si>
  <si>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</si>
  <si>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Гуртожиток по вул.Жовтнева,2 - реконструкція системи теплопостачання</t>
  </si>
  <si>
    <t>Будівництво водопропуску через річку Сагайдачку по вул.Скельній в м.Запоріжжя</t>
  </si>
  <si>
    <t>Комунальна установа "Міська клінічна лікарня екстренної та швидкої медичної допомоги м.Запоріжжя" - реконструкція резервного джерела енергопостачання</t>
  </si>
  <si>
    <t>Внески у статутні капітали комунальних підприємств міста - погашення заборгованості за минулі роки</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</si>
  <si>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</si>
  <si>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до рішення  міської ради</t>
  </si>
  <si>
    <t>Назва об'єктів відповідно до проектно-кошторисної документації, тощо</t>
  </si>
  <si>
    <t>Капітальний ремонт нежитлової будівлі по вул.Анрі Барбюса, 9а</t>
  </si>
  <si>
    <t>"Про бюджет міста на 2015 рік"</t>
  </si>
  <si>
    <t>___________  №  _____</t>
  </si>
  <si>
    <t xml:space="preserve">Додаток 6                           </t>
  </si>
  <si>
    <t>Перелік об'єктів, видатки на які у 2015 році будуть проводитися за рахунок коштів бюджету розвитку</t>
  </si>
  <si>
    <t>(тис.грн.) / грн.</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</si>
  <si>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</si>
  <si>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</si>
  <si>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Охорона та раціональне використання природних ресурсів</t>
  </si>
  <si>
    <t>Реконтрукція каналізаційного колектору до КНС-1 по вул. Українській</t>
  </si>
  <si>
    <t>Реконсрукція самопливного каналізаційного коелктору від вул. Новгородська до ЦОС-2. Ділянка переходу під  вул. Задніпровська та залізницею</t>
  </si>
  <si>
    <t>Розширення і реконсрукція центральних каналізаційних очисних споруд Лівого берега  (ЦОС-1). Технологічні трубопроводи (колектор К-28)</t>
  </si>
  <si>
    <t>Реконструкція каналізаційного напірного колектору діаметром 710мм від КНС-23. Ділянка №3 від вул. Істоміна до камери гасіння м. Запоріжжя</t>
  </si>
  <si>
    <t>Заходи щодо відновлення і підтримання сприятливого гідрологічного режиму та санітарного стану річок. Розчистка русла р. Верхня Хортиця на ділянці від залізничного переїзду до р. Дніпро</t>
  </si>
  <si>
    <t>Роботи пов`язані з поліпшенням технічного стану та благоустроюмалої вдойми ЦПКтаВ "Дубовий гай". Реконсрукція</t>
  </si>
  <si>
    <t>Заходи щодо відновлення і підтримання сприятливого гідрологічного режиму та санітарного стану річок. Розчистка русла балки Поповка (проектні роботи)</t>
  </si>
  <si>
    <t>Реконструкція самопливного каналізаційного колектору від вул. Новгородська до ЦОС-2. Ділянка колектору від дюкеру до ЦОС-2 (проектні роботи)</t>
  </si>
  <si>
    <t>Реконсрукція каналізаційних мереж діаметром 150 мм від ж/б №218 по пр. Леніна до пр. Металргів м. Запоріжжя</t>
  </si>
  <si>
    <t>Інші природоохронні заходи</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</si>
  <si>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</si>
  <si>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</si>
  <si>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Комунальне підриємство "Титан" (придбання памятних знаків "Запорізьким захисникам України" - 2 од.)</t>
  </si>
  <si>
    <t>Комунальне підприємство "Міжнародний аеропорт Запоріжжя" (придбання детектору вибухових речовин - 1 од.)</t>
  </si>
  <si>
    <t>Реконструкція будівлі дошкільного навчального закладу № 144 Комунарського району (проектні та будівельні роботи)</t>
  </si>
  <si>
    <t>Реконструкція будівлі дошкільного навчального закладу № 77 по вул. Маяковського, 3а Орджонікідзевського району, м. Запоріжжя (проектні та будівельні роботи)</t>
  </si>
  <si>
    <t>Термомодернізація загальноосвітньої школи І-ІІІ ступенів № 101 по вул.Бочарова, 10-б  м.Запоріжжя (проектні роботи)</t>
  </si>
  <si>
    <t>Термомодернізація дошкільного навчального закладу (ясла-садок) № 126 «Суничка», вул.Патріотична, 40а м.Запоріжжя (проектні роботи)</t>
  </si>
  <si>
    <t>Нове будівництво дошкільного навчального закладу №49 в мікрорайоні № 6 по вул. Бородінська в м. Запоріжжі (проектні роботи та експертиза)</t>
  </si>
  <si>
    <t>Міське комунальне підприємство "Основаніє" (придбання деревоподрібнюючої машини - 1 од.)</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</si>
  <si>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t>
  </si>
  <si>
    <t>Реконструкція амбулаторії №6 Центру первинної медико-санітарної допомоги №2 по вул.Брюлова,6 в м.Запоріжжя (проектні роботи)</t>
  </si>
  <si>
    <t xml:space="preserve">Реконструкція системи вентиляції і кондиціювання в корпусах комунальної установи "Міська клінічна лікарня екстреної та швидкої медичної допомоги м.Запоріжжя"  по вул. Перемоги, 80 (проектні роботи та експертиза) </t>
  </si>
  <si>
    <t>Комунальна установа "Центральна лікарня Орджонікідзевського району" по бул. Шевченка, 25 м.Запоріжжя - реконструкція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</si>
  <si>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 (проектні роботи)</t>
  </si>
  <si>
    <t>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(проектні роботи)</t>
  </si>
  <si>
    <t>Реконструкція будівлі під центр реінтеграції бездомних осіб по вул. Перспективна, 2А в м.Запоріжжі (проектні роботи та експертиза)</t>
  </si>
  <si>
    <t xml:space="preserve"> Технічне переоснащення приміщень комунального закладу "Палау культури "Орбіта" з встановленням систем пожежогасіння та системи пожежної сигналізації по вул. Лермонтова, 9 м.Запоріжжя</t>
  </si>
  <si>
    <t>Реконструкція житлового будинку по пл.  Профспілок, 4</t>
  </si>
  <si>
    <t xml:space="preserve">Реконструкція системи диспетчеризації ліфтового господарства в Комунарському районі м. Запоріжжя </t>
  </si>
  <si>
    <t>Будівництво дитячих будинків сімейного типу сел. Тепличне в районі житлової забудови по вул. Центральній в м. Запоріжжі (проектні роботи, експертиза)</t>
  </si>
  <si>
    <t>Будівництво дитячого будинку сімейного типу в сел. Тепличне по вул. Центральній між будинками №№ 7а та 7 в м.Запоріжжі (проектні роботи, експертиза, будівельні роботи)</t>
  </si>
  <si>
    <t>Реконструкція будівлі  насосної станції (літера А) з розташуванням в ній котельної та насосної групи по вул. Софіївській, 232б в м. Запоріжжі</t>
  </si>
  <si>
    <t>Реконструкція мостового переходу через залізницю по вул. Заводській в м.Запоріжжі</t>
  </si>
  <si>
    <t>Будівництво зливової каналізації на ділянці автодороги загального користування державного значення М-18 Харьків-Сімферополь  у Шевченківському районі м.Запоріжжя (проектні роботи, експертиза)</t>
  </si>
  <si>
    <t xml:space="preserve">Будівництво дорожнього полотна пров. Ставропольський в м. Запоріжжя </t>
  </si>
  <si>
    <t>Реконструкція дороги по вул. Глісерній з автомобільною стоянкою в районі парку «Дубовий гай»  м. Запоріжжя</t>
  </si>
  <si>
    <t>Реконструкція вул. Медичної в межах від вул. Айвазовського до вул. Панаса Мирного (проектні та будівельні роботи)</t>
  </si>
  <si>
    <t xml:space="preserve">Ліквідація аварійного стану на ділянці 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у м. Запоріжжя </t>
  </si>
  <si>
    <t>Реконструкція розділювальної смуги на Прибрежній магістралі від вул. Української до вул. Глісерної з будівництвом світлофорних об"єктів в м. Запоріжжі (проектні та будівельні роботи)</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</si>
  <si>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</si>
  <si>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Завершення будівництва по вул. Калнишевського, вул. Дорошенко, вул. Рубана (зовнішнє освітлення та дороги) </t>
  </si>
  <si>
    <t>Будівництво трамвайної колії від пр. Леніна до вул. Жовтневої в м. Запоріжжі (проектно-вишукувальні роботи, експертиза)</t>
  </si>
  <si>
    <t>Будівництво дороги до каналізаційної насосної станції №3 по вул. Лізи Чайкіної  (проектні роботи)</t>
  </si>
  <si>
    <t>Реконструкція вул. Уральської від вул. Кругової до вул. Чарівної  в Шевченківському районі м. Запоріжжя (проектні роботи)</t>
  </si>
  <si>
    <t xml:space="preserve">Реконструкція вул. Жуковського від вул. Леппіка до вул. Залізничної  у Жовтневому районі м. Запоріжжя (проектні  роботи) </t>
  </si>
  <si>
    <t>Реконструкція тротуару по вул. Новокузнецькій (непарна сторона)</t>
  </si>
  <si>
    <t xml:space="preserve">Будівництво водогону Д=315 мм по вул.Сапожнікова, м.Запоріжжя </t>
  </si>
  <si>
    <t xml:space="preserve">Реконструкція шляхопроводу через р. Мокра Московка на автошляху Харків-Сімферополь (проектні та будівельні роботи) </t>
  </si>
  <si>
    <t>Реконструкція житлового будинку  по вул.Республіканській, 88  в м. Запоріжжя</t>
  </si>
  <si>
    <t>Реконструкція внутрішньобудинкових інженерних мереж житлових будинків по пр. Леніна, 171</t>
  </si>
  <si>
    <t>Реконструкція внутрішньобудинкових інженерних мереж житлових будинків по пр. Леніна, 171а</t>
  </si>
  <si>
    <t>Реконструкція внутрішньобудинкових інженерних мереж житлових будинків по пр. Леніна, 173</t>
  </si>
  <si>
    <t>Реконструкція житлового будинку по вул.Ракетній, 38а  в м. Запоріжжя</t>
  </si>
  <si>
    <t>Житловий будинок по вул.Дзержинського, 52 - реконструкція в м. Запоріжжі</t>
  </si>
  <si>
    <t>Реконструкція водогону з його виносом з-під житлової забудови по вул. Первомайській (від вул. Кооперативної до вул.Української, 92) в м.Запоріжжі</t>
  </si>
  <si>
    <t>Нове будівництво грунтової підпірної стінки в котловані незавершеного будівництва житлового будинку по вул.Горького, 167 в м. Запоріжжі</t>
  </si>
  <si>
    <t>Реконструкція автодороги Запоріжжя-Підпорожнянка на Дніпровську водопровідну станцію (ДВС-1) в районі шлакових відвалів ВАТ "Запоріжсталь" у м. Запоріжжя</t>
  </si>
  <si>
    <t>Реконструкція вул. Жовтневої від пр. Леніна  до вул.  Жуковського в Жовтневому районі м. Запоріжжя (проектні роботи)</t>
  </si>
  <si>
    <t xml:space="preserve">Реконструкція вул. Сталеварів (від пр. Леніна до вул. Перемоги) </t>
  </si>
  <si>
    <t xml:space="preserve">Влаштування флагштоків у парку Металургів в м. Запоріжжі на алеї Памяті Героїв, загиблих в АТО - нове будівництво </t>
  </si>
  <si>
    <t>Встановлення типових модульних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 Запоріжжя</t>
  </si>
  <si>
    <t>Будівництво світлофорного об'єкту на перехресті вул. Леппіка - вул. Дзержинського в м. Запоріжжі</t>
  </si>
  <si>
    <t>Будівництво світлофорного об'єкту на перехресті вул. Гоголя - вул. Комунарівська в м. Запоріжжі</t>
  </si>
  <si>
    <t>Будівництво світлофорного об'єкту на перехресті вул. Сєдова - виїзд з 7 медсанчастини в м. Запоріжжі</t>
  </si>
  <si>
    <t>оплата послуг аукціону та придбання обладнання</t>
  </si>
  <si>
    <t>Реконструкція світлофорного об'єкту   з визивним пристроєм на перехресті вул.Чарівної-вул. Цитрусової в м.Запоріжжі (проектні  та будівельні роботи)</t>
  </si>
  <si>
    <t>Будівництво мереж зовнішнього освітлення вулиці  Косарєва (від вул. Вилкіна  до вул. Автобусної) у м. Запоріжжі (проектні та будівельні роботи)</t>
  </si>
  <si>
    <t>Реконструкція мереж зовнішнього освітлення на внутрішньоквартальній території по вул. Малиновського ТП-153 у м. Запоріжжя</t>
  </si>
  <si>
    <t>Реконструкція мереж зовнішнього освітлення на внутрішньоквартальній території по вул. Малиновського ТП-158 у м. Запоріжжя</t>
  </si>
  <si>
    <t>Реконструкція мереж зовнішнього освітлення на внутрішньоквартальній території по вул. Малиновського ТП-118 у м. Запоріжжя</t>
  </si>
  <si>
    <t>Реконструкція внутрішньоквартальних мереж зовнішнього освітлення на території по вул. Бородинська 2 етап ТП-885 в м.Запоріжжі</t>
  </si>
  <si>
    <t>Реконструкція мереж зовнішнього освітлення на внутрішньоквартальній території по вул. Героїв Сталінграду,  ТП-311 в м.Запоріжжі</t>
  </si>
  <si>
    <t>Реконструкція мереж зовнішнього освітлення на внутрішньоквартальній території по вул. Грязнова  ТП-312 в м.Запоріжжі</t>
  </si>
  <si>
    <t>Реконструкція мереж зовнішнього освітлення вздовж автодорожнього проїзду по спорудах греблі ДніпроГЕС (автодорожній проїзд від пл. Леніна до греблі ДніпроГЕС лівий берег р. Дніпро, автодорожній проїзд від греблі ДніпроГЕС до бул. Вінтера правий берег р. Дніпро, ТП-74) в м. Запоріжжя</t>
  </si>
  <si>
    <t xml:space="preserve">Реконструкція мереж зовнішнього освітлення Центрального парку культури і відпочинку "Дубовий гай" в м.Запоріжжі ТП-267 (парк "Дубовий гай") </t>
  </si>
  <si>
    <t xml:space="preserve">Ліквідація аварійного стану автодороги, зливової та побутової каналізації по вул. М.Судця, м.Запоріжжя </t>
  </si>
  <si>
    <r>
      <t>Реконструкція вул.Рекордної від вул. Портова до вул. Алюмінева (проектні роботи)</t>
    </r>
    <r>
      <rPr>
        <b/>
        <sz val="14"/>
        <color indexed="10"/>
        <rFont val="Times New Roman"/>
        <family val="1"/>
      </rPr>
      <t xml:space="preserve"> </t>
    </r>
  </si>
  <si>
    <t xml:space="preserve">Реконструкція скверу на пл. Театральній зі спорудженням пам"ятника Т.Г. Шевченку (проектні роботи та експертиза) </t>
  </si>
  <si>
    <r>
      <t>Реконструкція мереж зовнішнього освітлення по</t>
    </r>
    <r>
      <rPr>
        <sz val="14"/>
        <color indexed="8"/>
        <rFont val="Times New Roman"/>
        <family val="1"/>
      </rPr>
      <t xml:space="preserve"> вул. Тополіна   ТП-52 у м. Запоріжжя </t>
    </r>
  </si>
  <si>
    <t xml:space="preserve">Реконструкція мереж зовнішнього освітлення в сквері по вул.Космічній,22 (біля Комунарського РВ ЗМУ) в м.Запоріжжя </t>
  </si>
  <si>
    <t xml:space="preserve">Реконструкція мереж зовнішнього освітлення на внутрішньоквартальній території по пр. Радянський (5 мікрорайон) ТП-612 </t>
  </si>
  <si>
    <t xml:space="preserve">Реконструкція мереж зовнішнього освітлення по вул. Метрополітенівській </t>
  </si>
  <si>
    <t xml:space="preserve">Реконструкція мереж зовнішнього освітлення по вул. Станіславського </t>
  </si>
  <si>
    <t xml:space="preserve">Реконструкція мереж зовнішнього освітлення по вул. Деповська </t>
  </si>
  <si>
    <t xml:space="preserve">Реконструкція мереж зовнішнього освітлення по вул. Армавірська </t>
  </si>
  <si>
    <t>Будівництво дитячих майданчиків  (проектні та будівельні роботи) , в тому числі за адресами:</t>
  </si>
  <si>
    <t xml:space="preserve">Будівництво та встановлення оглядових веж </t>
  </si>
  <si>
    <t xml:space="preserve">Будівництво мереж освітлення оглядових веж </t>
  </si>
  <si>
    <r>
      <t xml:space="preserve">Реконструкція дороги по вул. Південноукраїнська та вул. Панфіловців з влаштуванням гостьових автомобільних стоянок </t>
    </r>
    <r>
      <rPr>
        <sz val="14"/>
        <rFont val="Times New Roman"/>
        <family val="1"/>
      </rPr>
      <t xml:space="preserve"> </t>
    </r>
  </si>
  <si>
    <t xml:space="preserve">Реконструкція дороги по вул. Чубаря з влаштуванням гостьових автомобільних стоянок (проектні роботи, експертиза) </t>
  </si>
  <si>
    <t xml:space="preserve">Реконструкція зовнішнього освітлення в районі вул. Правда - вул. Чубаря, м.Запоріжжя (проектні та будівельні роботи) </t>
  </si>
  <si>
    <t xml:space="preserve">Комунальний заклад "Міська клінічна лікарня №3" - реконструкція відділення очної травми та приймального відділення </t>
  </si>
  <si>
    <t xml:space="preserve">Реконструкція вулично- шляхової мережі   по вул. Грибоєдова  від Щасливої до вул. Тобольської у Ленінському районі м. Запоріжжя  (проектні  роботи) </t>
  </si>
  <si>
    <t xml:space="preserve">Реконструкція вулично-шляхової мережі по вул. Квітучій в межах від вул. Братської до вул. Вінницької в Ленінському районі </t>
  </si>
  <si>
    <t>Реконструкція зливової каналізації по вул. Тургєнєва в м. Запоріжжя  (проектні роботи)</t>
  </si>
  <si>
    <t xml:space="preserve"> Будівництво споруд зливової каналізації в межах відновлення берегової території сел. Павло-Кічкас м. Запоріжжя (проектні роботи)</t>
  </si>
  <si>
    <t>Реконструкція пам"ятника Т.Г. Шевченку з прилеглою територією у Шевченківському районі  м.Запоріжжя</t>
  </si>
  <si>
    <t>Виготовлення та встановлення пам"ятника Т.Г. Шевченку в сквері Театральному м. Запоріжжя - нове будівництво</t>
  </si>
  <si>
    <t>Реконструкція скверу  Театрального  в м. Запоріжжя (проектні та будівельні роботи)</t>
  </si>
  <si>
    <t>Нове будівництво гостьової автостоянки КП "Центральний парк культури та відпочинку "Дубовий гай" по Прибережній магістралі в м.Запоріжжя</t>
  </si>
  <si>
    <t>Будівництво світлофорного об'єкту з пішохідним визивним пристроєм ПВП по вул. Яценка в районі парку Перемоги у м.Запоріжжі (проектні та будівельні роботи)</t>
  </si>
  <si>
    <t>Будівництво світлофорного об'єкту на перехресті вул. Демократичної - вул. Сєченова в м.Запоріжжя (проектні та будівельні роботи)</t>
  </si>
  <si>
    <t>Будівництво двох світлофорних об'єктів з визивним пристроєм в районі зупинкового комплексу "Скворцова" та меморіалу загиблим воїнам по вул. Скворцова в м.Запоріжжя (проектні та будівельні роботи)</t>
  </si>
  <si>
    <t>Будівництво світлофорного об'єкту   з визивним пристроєм на перехресті бул.Шевченка- бул.Гвардійського  в м.Запоріжжя (проектні роботи)</t>
  </si>
  <si>
    <t>Реконструкція світлофорного об'єкту   з визивним пристроєм на перехресті вул.Іванова-вул.Безіменна в м.Запоріжжя (проектні роботи)</t>
  </si>
  <si>
    <t>Будівництво світлофорного обєкту на перехресті вул. Радгоспної - вул. Магара в м.Запоріжжя (проектні та будівельні роботи)</t>
  </si>
  <si>
    <t>Придбання 10-ти нових тролейбусів вітчизняного виробництва</t>
  </si>
  <si>
    <t>Реконструкція мереж зовнішнього освітлення по. вул.Трегубова в м.Запоріжжі</t>
  </si>
  <si>
    <t>Реконструкція мереж зовнішнього освітлення по вул. Ризька в м. Запоріжжі</t>
  </si>
  <si>
    <t>Реконструкція мереж зовнішнього освітлення по вул. Автодорівська в м. Запоріжжі</t>
  </si>
  <si>
    <t>Будівництво світлофорного обєкту на перехресті по вул.Гребельній в районі пішохідного переходу навпроти мемориалу "Скорботна Мати" в м.Запоріжжя (проектні та будівельні роботи)</t>
  </si>
  <si>
    <r>
      <t>Будівництво мереж зовнішнього освітлення ІІ мосту ім. Преображенського (старий Дніпро) у м.Запоріжжі (проектні та будівельні роботи)</t>
    </r>
    <r>
      <rPr>
        <sz val="14"/>
        <color indexed="10"/>
        <rFont val="Times New Roman"/>
        <family val="1"/>
      </rPr>
      <t xml:space="preserve"> </t>
    </r>
  </si>
  <si>
    <t>Реконструкція мереж зовнішнього освітлення по вул. Північне шосе в м.Запоріжжя</t>
  </si>
  <si>
    <t xml:space="preserve">Житловий будинок  по вул. Вузлова,21 - реконструкція мереж гарячого водопостачання та системи теплопостачання </t>
  </si>
  <si>
    <t>Реконструкція по газифікації житлового будинку  по вул.Горького, 99, в м. Запоріжжя</t>
  </si>
  <si>
    <t>Реконструкція зливової каналізації від вул. Карпенко-Карого до вул. Листопрокатна в м. Запоріжжя (проектні роботи)</t>
  </si>
  <si>
    <t>Будівництво Кушугумського кладовища в м. Запоріжжя</t>
  </si>
  <si>
    <t>Реконструкція системи газопостачання газопроводу низкого тиску в районі житлового будинку №24 по вул.Лобановського</t>
  </si>
  <si>
    <t>Реконструкція контактної мережі тролейбусу на греблі "Дніпрогес" і на дільниці від площі Леніна до естакади через шлюзи</t>
  </si>
  <si>
    <t>Реконструкція тролейбусної лінії від вул. Седова до вул.Південного шосе, 13 в м. Запоріжжя</t>
  </si>
  <si>
    <t>Реконструкція трамвайної колії на ділянці: вул.Шевченка, вул.Солідарності, вул.Каліброва - Завод "Дніпроспецсталь" з урахуванням заміни опор контактної мережі та реконструкцією зливової каналізації (без урахування робіт з реконструкції дорожнього покриття, зливової каналізації)   Проектні роботи</t>
  </si>
  <si>
    <r>
      <t>Газифікація житлових будинків по вул. Воєнбуд м.Запоріжжя</t>
    </r>
  </si>
  <si>
    <t>Реконструкція пішохідної частини проспекту Маяковського в м.Запоріжжі</t>
  </si>
  <si>
    <t>Будівництво світлофорного об'єкту на перехресті вул. Північне шосе - дорога на Сталепрокатний завод у м.Запоріжжі</t>
  </si>
  <si>
    <t>Будівництво мереж зовнішнього освітлення по вул.Прияружна, 4а-12 у м. Запоріжжі (проектні та будівельні роботи)</t>
  </si>
  <si>
    <t>Будівництво мереж зовнішнього освітлення по вул. Вогнетривка, 1-11у м. Запоріжжя (проектні та будівельні роботи )</t>
  </si>
  <si>
    <t>Будівництво мереж зовнішнього освітлення по вул. Горького (від вул. Радянської до вул. Червоногвардійської) у м.Запоріжжі  (проектні та будівельні  роботи )</t>
  </si>
  <si>
    <t>Будівництво мереж зовнішнього освітлення по вул. Свердлова (від вул. Жуковського до вул. Гоголя) у м. Запоріжжя (проектні та будівельні роботи)</t>
  </si>
  <si>
    <t>Будівництво мереж зовнішнього освітлення вулиці Історична від (ж/б № 1 до ж/б №5) у м. Запоріжжі (проектні та будівельні роботи)</t>
  </si>
  <si>
    <t>Будівництво мереж зовнішнього освітлення  пров.Кедровий (від вул. Учнівської до вул.Каспійської) у м. Запоріжжі (проектні та будівельні роботи)</t>
  </si>
  <si>
    <t>Будівництво мереж зовнішнього освітлення пров.Якутський (від вул. Панфьорова до вул. Паторжинського)  у м. Запоріжжі (проектні та будвельні роботи)</t>
  </si>
  <si>
    <t>Будівництво мереж зовнішнього освітлення Прибережна автомагістраль (рятувальна станція КП "Титан") у м.Запоріжжі  (проектні роботи та експертиза)</t>
  </si>
  <si>
    <t>Будівництво мереж зовнішнього освітлення по вул. Скеляста у м.Запоріжжі (проектні роботи та експертиза)</t>
  </si>
  <si>
    <t>Будівництво мереж зовнішнього освітлення по вул. Аджарська у м.Запоріжжі (проектні роботи та експертиза)</t>
  </si>
  <si>
    <t>Будівництво мереж зовнішнього освітлення по вул. Рилєєва,7-18 у м. Запоріжжі (проектні роботи та експертиза)</t>
  </si>
  <si>
    <t xml:space="preserve">Реконструкція мереж зовнішнього освітлення дитячого майданчика по вул. Дорошенка, 6 (квартал 18) у м.Запоріжжя </t>
  </si>
  <si>
    <t>Реконструкція мереж зовнішнього освітлення по вул. Новгородська (гуртожиток по вул. Новгородська) у м. Запоріжжі</t>
  </si>
  <si>
    <t>Реконструкція мереж зовнішнього освітлення по вул. Теплова в м. Запоріжжі</t>
  </si>
  <si>
    <t>Реконструкція мереж зовнішнього освітлення по вул. Кустанайська  в м. Запоріжжі</t>
  </si>
  <si>
    <t>Реконструкція мереж зовнішнього освітлення по вул. Крилова в м. Запоріжжі</t>
  </si>
  <si>
    <t>Реконструкція мереж зовнішнього освітлення на внутрішньоквартальній території по вул. Грязнова в м.Запоріжжі</t>
  </si>
  <si>
    <t>Реконструкція мереж зовнішнього освітлення  по вул.Халтуріна з виходом на вул.Ялтинську в м.Запоріжжя</t>
  </si>
  <si>
    <t>Реконструкція мереж зовнішнього освітлення по вул. Третьої п’ятирічки в м. 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</si>
  <si>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</si>
  <si>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 xml:space="preserve">Реконструкція скверу з влаштуванням фонтанів на площі Маяковського в м. Запоріжжі, присвячених ліквідаторам Чорнобильської катастрофи (проектні роботи, експертиза) </t>
  </si>
  <si>
    <t>Видатки на проведення робіт, повязаних із будівництвом, реконструкцією, ремонтом  автомобільних доріг</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</si>
  <si>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</si>
  <si>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</si>
  <si>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</si>
  <si>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</si>
  <si>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03</t>
  </si>
  <si>
    <t>Виконавчий комітет міської ради</t>
  </si>
  <si>
    <t>010116</t>
  </si>
  <si>
    <t>Органи місцевого самоврядування</t>
  </si>
  <si>
    <t>капітальні видатки</t>
  </si>
  <si>
    <t>Капітальні вкладення</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</si>
  <si>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</si>
  <si>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</si>
  <si>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</si>
  <si>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</si>
  <si>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</si>
  <si>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</si>
  <si>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</si>
  <si>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</si>
  <si>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</si>
  <si>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</si>
  <si>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</si>
  <si>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</si>
  <si>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 75 по вул.Історична,92 Заводського району </t>
  </si>
  <si>
    <t xml:space="preserve">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 </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</si>
  <si>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</si>
  <si>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080800</t>
  </si>
  <si>
    <t>Центри первинної медичної (медико-санітарної) допомоги</t>
  </si>
  <si>
    <t>070804</t>
  </si>
  <si>
    <t>Централізовані бухгалтерії обласних, міських, районних відділів освіти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</si>
  <si>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</si>
  <si>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</si>
  <si>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заходи по охороні здоров'я</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</si>
</sst>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s>
  <fonts count="52">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sz val="8"/>
      <name val="Calibri"/>
      <family val="2"/>
    </font>
    <font>
      <u val="single"/>
      <sz val="8.25"/>
      <color indexed="12"/>
      <name val="Calibri"/>
      <family val="2"/>
    </font>
    <font>
      <u val="single"/>
      <sz val="8.25"/>
      <color indexed="36"/>
      <name val="Calibri"/>
      <family val="2"/>
    </font>
    <font>
      <sz val="12"/>
      <color indexed="8"/>
      <name val="Times New Roman"/>
      <family val="1"/>
    </font>
    <font>
      <sz val="22"/>
      <color indexed="8"/>
      <name val="Times New Roman"/>
      <family val="1"/>
    </font>
    <font>
      <b/>
      <sz val="18"/>
      <color indexed="8"/>
      <name val="Times New Roman"/>
      <family val="1"/>
    </font>
    <font>
      <b/>
      <sz val="12"/>
      <color indexed="8"/>
      <name val="Arial"/>
      <family val="2"/>
    </font>
    <font>
      <sz val="10"/>
      <color indexed="8"/>
      <name val="Arial"/>
      <family val="2"/>
    </font>
    <font>
      <sz val="12"/>
      <color indexed="8"/>
      <name val="Calibri"/>
      <family val="2"/>
    </font>
    <font>
      <b/>
      <sz val="12"/>
      <color indexed="8"/>
      <name val="Arial Cyr"/>
      <family val="2"/>
    </font>
    <font>
      <u val="single"/>
      <sz val="11"/>
      <color indexed="8"/>
      <name val="Calibri"/>
      <family val="2"/>
    </font>
    <font>
      <b/>
      <sz val="11"/>
      <color indexed="10"/>
      <name val="Calibri"/>
      <family val="2"/>
    </font>
    <font>
      <b/>
      <sz val="11"/>
      <name val="Calibri"/>
      <family val="2"/>
    </font>
    <font>
      <sz val="12"/>
      <name val="Arial"/>
      <family val="2"/>
    </font>
    <font>
      <sz val="9"/>
      <name val="Arial Cyr"/>
      <family val="2"/>
    </font>
    <font>
      <sz val="12"/>
      <color indexed="10"/>
      <name val="Arial"/>
      <family val="2"/>
    </font>
    <font>
      <sz val="11"/>
      <name val="Calibri"/>
      <family val="2"/>
    </font>
    <font>
      <sz val="20"/>
      <name val="Times New Roman"/>
      <family val="1"/>
    </font>
    <font>
      <sz val="14"/>
      <color indexed="8"/>
      <name val="Times New Roman"/>
      <family val="1"/>
    </font>
    <font>
      <sz val="14"/>
      <name val="Times New Roman"/>
      <family val="1"/>
    </font>
    <font>
      <b/>
      <sz val="14"/>
      <color indexed="10"/>
      <name val="Times New Roman"/>
      <family val="1"/>
    </font>
    <font>
      <b/>
      <sz val="14"/>
      <name val="Times New Roman"/>
      <family val="1"/>
    </font>
    <font>
      <sz val="14"/>
      <color indexed="10"/>
      <name val="Times New Roman"/>
      <family val="1"/>
    </font>
    <font>
      <strike/>
      <sz val="14"/>
      <name val="Times New Roman"/>
      <family val="1"/>
    </font>
    <font>
      <b/>
      <i/>
      <sz val="12"/>
      <color indexed="8"/>
      <name val="Arial"/>
      <family val="2"/>
    </font>
    <font>
      <b/>
      <i/>
      <sz val="14"/>
      <name val="Times New Roman"/>
      <family val="1"/>
    </font>
    <font>
      <b/>
      <sz val="13"/>
      <name val="Times New Roman"/>
      <family val="1"/>
    </font>
    <font>
      <sz val="25"/>
      <name val="Times New Roman"/>
      <family val="1"/>
    </font>
    <font>
      <sz val="25"/>
      <color indexed="8"/>
      <name val="Times New Roman"/>
      <family val="1"/>
    </font>
    <font>
      <b/>
      <sz val="12"/>
      <name val="Arial"/>
      <family val="2"/>
    </font>
    <font>
      <b/>
      <u val="single"/>
      <sz val="25"/>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style="thin">
        <color indexed="9"/>
      </right>
      <top style="thin">
        <color indexed="9"/>
      </top>
      <bottom style="thin">
        <color indexed="9"/>
      </bottom>
    </border>
    <border>
      <left style="medium"/>
      <right style="thin"/>
      <top style="thin"/>
      <bottom style="thin"/>
    </border>
    <border>
      <left style="thin">
        <color indexed="8"/>
      </left>
      <right style="thin">
        <color indexed="8"/>
      </right>
      <top style="thin"/>
      <bottom style="thin">
        <color indexed="8"/>
      </bottom>
    </border>
    <border>
      <left style="thin"/>
      <right style="thin"/>
      <top>
        <color indexed="63"/>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0"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2"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 fillId="0" borderId="0">
      <alignment/>
      <protection/>
    </xf>
    <xf numFmtId="0" fontId="0" fillId="0" borderId="0">
      <alignment/>
      <protection/>
    </xf>
    <xf numFmtId="0" fontId="2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200">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5" fillId="24" borderId="0" xfId="0" applyFont="1" applyFill="1" applyAlignment="1">
      <alignment horizontal="right"/>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0" fontId="0" fillId="25" borderId="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3" fontId="20" fillId="0" borderId="10" xfId="0" applyNumberFormat="1" applyFont="1" applyFill="1" applyBorder="1" applyAlignment="1">
      <alignment horizontal="right" wrapText="1"/>
    </xf>
    <xf numFmtId="0" fontId="0" fillId="24" borderId="0" xfId="0" applyFont="1" applyFill="1" applyAlignment="1">
      <alignment wrapText="1"/>
    </xf>
    <xf numFmtId="0" fontId="0" fillId="0" borderId="11" xfId="0" applyFont="1" applyFill="1" applyBorder="1" applyAlignment="1">
      <alignment wrapText="1"/>
    </xf>
    <xf numFmtId="0" fontId="20" fillId="0" borderId="10" xfId="0" applyFont="1" applyFill="1" applyBorder="1" applyAlignment="1">
      <alignment horizontal="left" wrapText="1"/>
    </xf>
    <xf numFmtId="0" fontId="27" fillId="22" borderId="10" xfId="0" applyFont="1" applyFill="1" applyBorder="1" applyAlignment="1">
      <alignment horizontal="right" wrapText="1"/>
    </xf>
    <xf numFmtId="0" fontId="27" fillId="22" borderId="10" xfId="0" applyFont="1" applyFill="1" applyBorder="1" applyAlignment="1">
      <alignment horizontal="left" wrapText="1"/>
    </xf>
    <xf numFmtId="3" fontId="27" fillId="22" borderId="10" xfId="0" applyNumberFormat="1" applyFont="1" applyFill="1" applyBorder="1" applyAlignment="1">
      <alignment horizontal="right" wrapText="1"/>
    </xf>
    <xf numFmtId="0" fontId="9" fillId="24" borderId="0" xfId="0" applyFont="1" applyFill="1" applyAlignment="1">
      <alignment wrapText="1"/>
    </xf>
    <xf numFmtId="180" fontId="27" fillId="22" borderId="10" xfId="0" applyNumberFormat="1" applyFont="1" applyFill="1" applyBorder="1" applyAlignment="1">
      <alignment horizontal="right" wrapText="1"/>
    </xf>
    <xf numFmtId="3" fontId="27" fillId="0" borderId="10" xfId="0" applyNumberFormat="1" applyFont="1" applyFill="1" applyBorder="1" applyAlignment="1">
      <alignment horizontal="right" wrapText="1"/>
    </xf>
    <xf numFmtId="0" fontId="20" fillId="22" borderId="10" xfId="0" applyFont="1" applyFill="1" applyBorder="1" applyAlignment="1">
      <alignment horizontal="left" wrapText="1"/>
    </xf>
    <xf numFmtId="3" fontId="20" fillId="22" borderId="10" xfId="0" applyNumberFormat="1" applyFont="1" applyFill="1" applyBorder="1" applyAlignment="1">
      <alignment horizontal="right" wrapText="1"/>
    </xf>
    <xf numFmtId="180" fontId="20" fillId="22" borderId="10" xfId="0" applyNumberFormat="1" applyFont="1" applyFill="1" applyBorder="1" applyAlignment="1">
      <alignment horizontal="right" wrapText="1"/>
    </xf>
    <xf numFmtId="0" fontId="27" fillId="24" borderId="10" xfId="0" applyFont="1" applyFill="1" applyBorder="1" applyAlignment="1">
      <alignment horizontal="right" wrapText="1"/>
    </xf>
    <xf numFmtId="0" fontId="27" fillId="24" borderId="10" xfId="0" applyFont="1" applyFill="1" applyBorder="1" applyAlignment="1">
      <alignment horizontal="left" wrapText="1"/>
    </xf>
    <xf numFmtId="3" fontId="9" fillId="24" borderId="0" xfId="0" applyNumberFormat="1" applyFont="1" applyFill="1" applyAlignment="1">
      <alignment wrapText="1"/>
    </xf>
    <xf numFmtId="0" fontId="0" fillId="0" borderId="0" xfId="0" applyFont="1" applyAlignment="1">
      <alignment/>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0" fillId="25" borderId="10" xfId="0" applyNumberFormat="1" applyFont="1" applyFill="1" applyBorder="1" applyAlignment="1">
      <alignment horizontal="right" wrapText="1"/>
    </xf>
    <xf numFmtId="0" fontId="20" fillId="24" borderId="12" xfId="0" applyFont="1" applyFill="1" applyBorder="1" applyAlignment="1">
      <alignment horizontal="right" wrapText="1"/>
    </xf>
    <xf numFmtId="0" fontId="20" fillId="24" borderId="12" xfId="0" applyFont="1" applyFill="1" applyBorder="1" applyAlignment="1">
      <alignment horizontal="left" wrapText="1"/>
    </xf>
    <xf numFmtId="3" fontId="20" fillId="24" borderId="12" xfId="0" applyNumberFormat="1" applyFont="1" applyFill="1" applyBorder="1" applyAlignment="1">
      <alignment horizontal="right" wrapText="1"/>
    </xf>
    <xf numFmtId="180" fontId="20" fillId="24" borderId="12" xfId="0" applyNumberFormat="1" applyFont="1" applyFill="1" applyBorder="1" applyAlignment="1">
      <alignment horizontal="right" wrapText="1"/>
    </xf>
    <xf numFmtId="0" fontId="20" fillId="24" borderId="11" xfId="0" applyFont="1" applyFill="1" applyBorder="1" applyAlignment="1">
      <alignment horizontal="right" wrapText="1"/>
    </xf>
    <xf numFmtId="0" fontId="0" fillId="0" borderId="11" xfId="0" applyFont="1" applyBorder="1" applyAlignment="1">
      <alignment/>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3"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0" fontId="20" fillId="0" borderId="10" xfId="0" applyFont="1" applyFill="1" applyBorder="1" applyAlignment="1">
      <alignment horizontal="right" wrapText="1"/>
    </xf>
    <xf numFmtId="180" fontId="20" fillId="0" borderId="10" xfId="0" applyNumberFormat="1" applyFont="1" applyFill="1" applyBorder="1" applyAlignment="1">
      <alignment horizontal="right" wrapText="1"/>
    </xf>
    <xf numFmtId="0" fontId="0" fillId="0" borderId="0" xfId="0" applyFont="1" applyFill="1" applyAlignment="1">
      <alignment wrapText="1"/>
    </xf>
    <xf numFmtId="0" fontId="20" fillId="24" borderId="10" xfId="0" applyFont="1" applyFill="1" applyBorder="1" applyAlignment="1" quotePrefix="1">
      <alignment horizontal="right" wrapText="1"/>
    </xf>
    <xf numFmtId="49" fontId="20" fillId="24" borderId="10" xfId="0" applyNumberFormat="1" applyFont="1" applyFill="1" applyBorder="1" applyAlignment="1">
      <alignment horizontal="right" wrapText="1"/>
    </xf>
    <xf numFmtId="3" fontId="0" fillId="24" borderId="0" xfId="0" applyNumberFormat="1" applyFont="1" applyFill="1" applyAlignment="1">
      <alignment wrapText="1"/>
    </xf>
    <xf numFmtId="0" fontId="27" fillId="0" borderId="10" xfId="0" applyFont="1" applyFill="1" applyBorder="1" applyAlignment="1">
      <alignment horizontal="left" wrapText="1"/>
    </xf>
    <xf numFmtId="3" fontId="27" fillId="0" borderId="10" xfId="0" applyNumberFormat="1" applyFont="1" applyFill="1" applyBorder="1" applyAlignment="1">
      <alignment horizontal="left" wrapText="1"/>
    </xf>
    <xf numFmtId="49" fontId="29" fillId="0" borderId="10" xfId="0" applyNumberFormat="1" applyFont="1" applyBorder="1" applyAlignment="1">
      <alignment horizontal="center"/>
    </xf>
    <xf numFmtId="0" fontId="29" fillId="0" borderId="10" xfId="0" applyFont="1" applyBorder="1" applyAlignment="1">
      <alignment wrapText="1"/>
    </xf>
    <xf numFmtId="0" fontId="30" fillId="22" borderId="10" xfId="0" applyFont="1" applyFill="1" applyBorder="1" applyAlignment="1">
      <alignment horizontal="left" wrapText="1"/>
    </xf>
    <xf numFmtId="0" fontId="28" fillId="24" borderId="0" xfId="0" applyFont="1" applyFill="1" applyAlignment="1">
      <alignment horizontal="right" wrapText="1"/>
    </xf>
    <xf numFmtId="0" fontId="28" fillId="24" borderId="0" xfId="0" applyFont="1" applyFill="1" applyAlignment="1">
      <alignment horizontal="left" wrapText="1"/>
    </xf>
    <xf numFmtId="0" fontId="28" fillId="0" borderId="0" xfId="0" applyFont="1" applyFill="1" applyAlignment="1">
      <alignment horizontal="right" wrapText="1"/>
    </xf>
    <xf numFmtId="0" fontId="25" fillId="24" borderId="0" xfId="0" applyFont="1" applyFill="1" applyAlignment="1">
      <alignment horizontal="left" wrapText="1"/>
    </xf>
    <xf numFmtId="0" fontId="25" fillId="24" borderId="0" xfId="0" applyFont="1" applyFill="1" applyAlignment="1">
      <alignment horizontal="right"/>
    </xf>
    <xf numFmtId="3" fontId="0" fillId="24" borderId="0" xfId="0" applyNumberFormat="1" applyFill="1" applyAlignment="1">
      <alignment horizontal="right" wrapText="1"/>
    </xf>
    <xf numFmtId="3" fontId="20" fillId="0" borderId="15" xfId="0" applyNumberFormat="1" applyFont="1" applyFill="1" applyBorder="1" applyAlignment="1">
      <alignment horizontal="right" wrapText="1"/>
    </xf>
    <xf numFmtId="3" fontId="27" fillId="22" borderId="15" xfId="0" applyNumberFormat="1" applyFont="1" applyFill="1" applyBorder="1" applyAlignment="1">
      <alignment horizontal="right" wrapText="1"/>
    </xf>
    <xf numFmtId="3" fontId="9" fillId="0" borderId="0" xfId="0" applyNumberFormat="1" applyFont="1" applyFill="1" applyAlignment="1">
      <alignment wrapText="1"/>
    </xf>
    <xf numFmtId="0" fontId="31" fillId="24" borderId="0" xfId="0" applyFont="1" applyFill="1" applyAlignment="1">
      <alignment horizontal="center" vertical="center" wrapText="1"/>
    </xf>
    <xf numFmtId="1" fontId="32" fillId="24" borderId="0" xfId="0" applyNumberFormat="1" applyFont="1" applyFill="1" applyAlignment="1">
      <alignment wrapText="1"/>
    </xf>
    <xf numFmtId="1" fontId="33" fillId="24" borderId="0" xfId="0" applyNumberFormat="1" applyFont="1" applyFill="1" applyAlignment="1">
      <alignment wrapText="1"/>
    </xf>
    <xf numFmtId="0" fontId="32" fillId="24" borderId="0" xfId="0" applyFont="1" applyFill="1" applyAlignment="1">
      <alignment wrapText="1"/>
    </xf>
    <xf numFmtId="0" fontId="17" fillId="24" borderId="0" xfId="0" applyFont="1" applyFill="1" applyAlignment="1">
      <alignment wrapText="1"/>
    </xf>
    <xf numFmtId="0" fontId="17" fillId="0" borderId="0" xfId="0" applyFont="1" applyFill="1" applyAlignment="1">
      <alignment wrapText="1"/>
    </xf>
    <xf numFmtId="1" fontId="17" fillId="0" borderId="0" xfId="0" applyNumberFormat="1" applyFont="1" applyFill="1" applyAlignment="1">
      <alignment wrapText="1"/>
    </xf>
    <xf numFmtId="1" fontId="17" fillId="24" borderId="0" xfId="0" applyNumberFormat="1" applyFont="1" applyFill="1" applyAlignment="1">
      <alignment wrapText="1"/>
    </xf>
    <xf numFmtId="1" fontId="32" fillId="0" borderId="0" xfId="0" applyNumberFormat="1" applyFont="1" applyFill="1" applyAlignment="1">
      <alignment wrapText="1"/>
    </xf>
    <xf numFmtId="0" fontId="34" fillId="0" borderId="10" xfId="0" applyFont="1" applyFill="1" applyBorder="1" applyAlignment="1">
      <alignment horizontal="right" wrapText="1"/>
    </xf>
    <xf numFmtId="0" fontId="35" fillId="0" borderId="11" xfId="0" applyFont="1" applyFill="1" applyBorder="1" applyAlignment="1">
      <alignment wrapText="1"/>
    </xf>
    <xf numFmtId="3" fontId="34" fillId="24" borderId="10" xfId="0" applyNumberFormat="1" applyFont="1" applyFill="1" applyBorder="1" applyAlignment="1">
      <alignment horizontal="right" wrapText="1"/>
    </xf>
    <xf numFmtId="3" fontId="34" fillId="0" borderId="10" xfId="0" applyNumberFormat="1" applyFont="1" applyFill="1" applyBorder="1" applyAlignment="1">
      <alignment horizontal="right" wrapText="1"/>
    </xf>
    <xf numFmtId="180" fontId="34" fillId="24" borderId="10" xfId="0" applyNumberFormat="1" applyFont="1" applyFill="1" applyBorder="1" applyAlignment="1">
      <alignment horizontal="right" wrapText="1"/>
    </xf>
    <xf numFmtId="49" fontId="20" fillId="0" borderId="12" xfId="0" applyNumberFormat="1" applyFont="1" applyBorder="1" applyAlignment="1">
      <alignment horizontal="right"/>
    </xf>
    <xf numFmtId="0" fontId="34" fillId="24" borderId="10" xfId="0" applyFont="1" applyFill="1" applyBorder="1" applyAlignment="1">
      <alignment horizontal="left" wrapText="1"/>
    </xf>
    <xf numFmtId="3" fontId="30" fillId="22" borderId="10" xfId="0" applyNumberFormat="1" applyFont="1" applyFill="1" applyBorder="1" applyAlignment="1">
      <alignment horizontal="right" wrapText="1"/>
    </xf>
    <xf numFmtId="0" fontId="20" fillId="0" borderId="10" xfId="0" applyFont="1" applyFill="1" applyBorder="1" applyAlignment="1">
      <alignment horizontal="left" wrapText="1"/>
    </xf>
    <xf numFmtId="0" fontId="20" fillId="24" borderId="10" xfId="0" applyFont="1" applyFill="1" applyBorder="1" applyAlignment="1">
      <alignment horizontal="left" wrapText="1"/>
    </xf>
    <xf numFmtId="3" fontId="36" fillId="0" borderId="10" xfId="0" applyNumberFormat="1" applyFont="1" applyFill="1" applyBorder="1" applyAlignment="1">
      <alignment horizontal="right" wrapText="1"/>
    </xf>
    <xf numFmtId="180" fontId="36" fillId="0" borderId="10" xfId="0" applyNumberFormat="1" applyFont="1" applyFill="1" applyBorder="1" applyAlignment="1">
      <alignment horizontal="right" wrapText="1"/>
    </xf>
    <xf numFmtId="0" fontId="37" fillId="25" borderId="11" xfId="0" applyFont="1" applyFill="1" applyBorder="1" applyAlignment="1">
      <alignment horizontal="left" wrapText="1"/>
    </xf>
    <xf numFmtId="3" fontId="17" fillId="24" borderId="0" xfId="0" applyNumberFormat="1" applyFont="1" applyFill="1" applyAlignment="1">
      <alignment wrapText="1"/>
    </xf>
    <xf numFmtId="0" fontId="0" fillId="25" borderId="11" xfId="0" applyFill="1" applyBorder="1" applyAlignment="1">
      <alignment horizontal="left" wrapText="1"/>
    </xf>
    <xf numFmtId="0" fontId="24" fillId="0" borderId="10" xfId="0" applyFont="1" applyFill="1" applyBorder="1" applyAlignment="1">
      <alignment horizontal="center" vertical="center" wrapText="1"/>
    </xf>
    <xf numFmtId="0" fontId="38" fillId="0" borderId="16" xfId="0" applyFont="1" applyBorder="1" applyAlignment="1">
      <alignment horizontal="left"/>
    </xf>
    <xf numFmtId="0" fontId="38" fillId="0" borderId="0" xfId="0" applyFont="1" applyAlignment="1">
      <alignment horizontal="left"/>
    </xf>
    <xf numFmtId="0" fontId="36" fillId="24" borderId="10" xfId="0" applyFont="1" applyFill="1" applyBorder="1" applyAlignment="1">
      <alignment horizontal="right" wrapText="1"/>
    </xf>
    <xf numFmtId="0" fontId="36" fillId="24" borderId="10" xfId="0" applyFont="1" applyFill="1" applyBorder="1" applyAlignment="1">
      <alignment horizontal="left" wrapText="1"/>
    </xf>
    <xf numFmtId="0" fontId="17" fillId="24" borderId="0" xfId="0" applyFont="1" applyFill="1" applyAlignment="1">
      <alignment wrapText="1"/>
    </xf>
    <xf numFmtId="0" fontId="34" fillId="24" borderId="10" xfId="0" applyFont="1" applyFill="1" applyBorder="1" applyAlignment="1">
      <alignment horizontal="right" wrapText="1"/>
    </xf>
    <xf numFmtId="0" fontId="37" fillId="24" borderId="0" xfId="0" applyFont="1" applyFill="1" applyAlignment="1">
      <alignment wrapText="1"/>
    </xf>
    <xf numFmtId="0" fontId="39" fillId="0" borderId="17" xfId="0" applyFont="1" applyFill="1" applyBorder="1" applyAlignment="1">
      <alignment horizontal="left" vertical="center" wrapText="1"/>
    </xf>
    <xf numFmtId="0" fontId="40" fillId="0" borderId="17" xfId="61" applyFont="1" applyFill="1" applyBorder="1" applyAlignment="1">
      <alignment horizontal="left" vertical="center" wrapText="1"/>
      <protection/>
    </xf>
    <xf numFmtId="3" fontId="40" fillId="0" borderId="11" xfId="0" applyNumberFormat="1" applyFont="1" applyFill="1" applyBorder="1" applyAlignment="1">
      <alignment horizontal="right" vertical="center" wrapText="1"/>
    </xf>
    <xf numFmtId="3" fontId="20" fillId="0" borderId="13" xfId="0" applyNumberFormat="1" applyFont="1" applyFill="1" applyBorder="1" applyAlignment="1">
      <alignment horizontal="right" wrapText="1"/>
    </xf>
    <xf numFmtId="3" fontId="20" fillId="0" borderId="14" xfId="0" applyNumberFormat="1" applyFont="1" applyFill="1" applyBorder="1" applyAlignment="1">
      <alignment horizontal="right" wrapText="1"/>
    </xf>
    <xf numFmtId="0" fontId="40" fillId="0" borderId="17" xfId="0" applyFont="1" applyFill="1" applyBorder="1" applyAlignment="1">
      <alignment horizontal="left" vertical="center" wrapText="1"/>
    </xf>
    <xf numFmtId="0" fontId="40" fillId="0" borderId="11" xfId="0" applyFont="1" applyFill="1" applyBorder="1" applyAlignment="1">
      <alignment vertical="center" wrapText="1"/>
    </xf>
    <xf numFmtId="3" fontId="40" fillId="0" borderId="11" xfId="0" applyNumberFormat="1" applyFont="1" applyFill="1" applyBorder="1" applyAlignment="1">
      <alignment horizontal="right" wrapText="1"/>
    </xf>
    <xf numFmtId="180" fontId="40" fillId="0" borderId="11" xfId="67" applyNumberFormat="1" applyFont="1" applyFill="1" applyBorder="1" applyAlignment="1">
      <alignment horizontal="right" wrapText="1"/>
    </xf>
    <xf numFmtId="0" fontId="40" fillId="0" borderId="17" xfId="58" applyFont="1" applyFill="1" applyBorder="1" applyAlignment="1">
      <alignment horizontal="left" vertical="center" wrapText="1"/>
      <protection/>
    </xf>
    <xf numFmtId="0" fontId="39" fillId="0" borderId="17" xfId="55" applyFont="1" applyFill="1" applyBorder="1" applyAlignment="1">
      <alignment horizontal="left" vertical="center" wrapText="1"/>
      <protection/>
    </xf>
    <xf numFmtId="2" fontId="39" fillId="0" borderId="17" xfId="0" applyNumberFormat="1" applyFont="1" applyFill="1" applyBorder="1" applyAlignment="1">
      <alignment vertical="center" wrapText="1"/>
    </xf>
    <xf numFmtId="0" fontId="40" fillId="0" borderId="11" xfId="0" applyFont="1" applyFill="1" applyBorder="1" applyAlignment="1">
      <alignment horizontal="left" vertical="center" wrapText="1"/>
    </xf>
    <xf numFmtId="0" fontId="40" fillId="0" borderId="11" xfId="56" applyFont="1" applyFill="1" applyBorder="1" applyAlignment="1">
      <alignment horizontal="left" vertical="center" wrapText="1"/>
      <protection/>
    </xf>
    <xf numFmtId="0" fontId="40" fillId="0" borderId="11" xfId="60" applyFont="1" applyFill="1" applyBorder="1" applyAlignment="1">
      <alignment horizontal="left" vertical="center" wrapText="1"/>
      <protection/>
    </xf>
    <xf numFmtId="0" fontId="40" fillId="0" borderId="17" xfId="57" applyFont="1" applyFill="1" applyBorder="1" applyAlignment="1">
      <alignment vertical="center" wrapText="1"/>
      <protection/>
    </xf>
    <xf numFmtId="0" fontId="40" fillId="0" borderId="17" xfId="34" applyFont="1" applyFill="1" applyBorder="1" applyAlignment="1">
      <alignment vertical="center" wrapText="1"/>
      <protection/>
    </xf>
    <xf numFmtId="0" fontId="40" fillId="0" borderId="17" xfId="59" applyFont="1" applyFill="1" applyBorder="1" applyAlignment="1">
      <alignment vertical="top" wrapText="1"/>
      <protection/>
    </xf>
    <xf numFmtId="0" fontId="40" fillId="0" borderId="17" xfId="59" applyFont="1" applyFill="1" applyBorder="1" applyAlignment="1">
      <alignment horizontal="left" vertical="center" wrapText="1"/>
      <protection/>
    </xf>
    <xf numFmtId="0" fontId="40" fillId="0" borderId="17" xfId="57" applyFont="1" applyFill="1" applyBorder="1" applyAlignment="1">
      <alignment horizontal="left" vertical="center" wrapText="1"/>
      <protection/>
    </xf>
    <xf numFmtId="0" fontId="40" fillId="0" borderId="17" xfId="0" applyFont="1" applyFill="1" applyBorder="1" applyAlignment="1">
      <alignment horizontal="justify" vertical="top" wrapText="1"/>
    </xf>
    <xf numFmtId="0" fontId="40" fillId="0" borderId="17" xfId="56" applyFont="1" applyFill="1" applyBorder="1" applyAlignment="1">
      <alignment horizontal="left" vertical="center" wrapText="1"/>
      <protection/>
    </xf>
    <xf numFmtId="0" fontId="40" fillId="0" borderId="17" xfId="0" applyFont="1" applyFill="1" applyBorder="1" applyAlignment="1">
      <alignment vertical="center" wrapText="1"/>
    </xf>
    <xf numFmtId="0" fontId="45" fillId="24" borderId="10" xfId="0" applyFont="1" applyFill="1" applyBorder="1" applyAlignment="1">
      <alignment horizontal="right" wrapText="1"/>
    </xf>
    <xf numFmtId="0" fontId="45" fillId="24" borderId="10" xfId="0" applyFont="1" applyFill="1" applyBorder="1" applyAlignment="1">
      <alignment horizontal="left" wrapText="1"/>
    </xf>
    <xf numFmtId="0" fontId="46" fillId="0" borderId="17" xfId="0" applyFont="1" applyFill="1" applyBorder="1" applyAlignment="1">
      <alignment horizontal="left" vertical="center" wrapText="1"/>
    </xf>
    <xf numFmtId="3" fontId="45" fillId="24" borderId="10" xfId="0" applyNumberFormat="1" applyFont="1" applyFill="1" applyBorder="1" applyAlignment="1">
      <alignment horizontal="right" wrapText="1"/>
    </xf>
    <xf numFmtId="180" fontId="45" fillId="24" borderId="10" xfId="0" applyNumberFormat="1" applyFont="1" applyFill="1" applyBorder="1" applyAlignment="1">
      <alignment horizontal="right" wrapText="1"/>
    </xf>
    <xf numFmtId="0" fontId="40" fillId="0" borderId="11" xfId="55" applyFont="1" applyFill="1" applyBorder="1" applyAlignment="1">
      <alignment horizontal="left" vertical="center" wrapText="1"/>
      <protection/>
    </xf>
    <xf numFmtId="0" fontId="39" fillId="0" borderId="11" xfId="55" applyFont="1" applyFill="1" applyBorder="1" applyAlignment="1">
      <alignment horizontal="left" vertical="center" wrapText="1"/>
      <protection/>
    </xf>
    <xf numFmtId="0" fontId="42" fillId="0" borderId="11" xfId="55" applyNumberFormat="1" applyFont="1" applyFill="1" applyBorder="1" applyAlignment="1">
      <alignment horizontal="left" vertical="center" wrapText="1"/>
      <protection/>
    </xf>
    <xf numFmtId="0" fontId="17" fillId="26" borderId="0" xfId="0" applyFont="1" applyFill="1" applyAlignment="1">
      <alignment wrapText="1"/>
    </xf>
    <xf numFmtId="0" fontId="0" fillId="26" borderId="0" xfId="0" applyFont="1" applyFill="1" applyAlignment="1">
      <alignment wrapText="1"/>
    </xf>
    <xf numFmtId="180" fontId="34" fillId="0" borderId="10" xfId="0" applyNumberFormat="1" applyFont="1" applyFill="1" applyBorder="1" applyAlignment="1">
      <alignment horizontal="right" wrapText="1"/>
    </xf>
    <xf numFmtId="0" fontId="40" fillId="0" borderId="0" xfId="0" applyFont="1" applyFill="1" applyBorder="1" applyAlignment="1">
      <alignment horizontal="left" vertical="center" wrapText="1"/>
    </xf>
    <xf numFmtId="0" fontId="39" fillId="25" borderId="11" xfId="0" applyFont="1" applyFill="1" applyBorder="1" applyAlignment="1">
      <alignment horizontal="left" wrapText="1"/>
    </xf>
    <xf numFmtId="0" fontId="40" fillId="25" borderId="11" xfId="0" applyFont="1" applyFill="1" applyBorder="1" applyAlignment="1">
      <alignment horizontal="left" wrapText="1"/>
    </xf>
    <xf numFmtId="0" fontId="40" fillId="0" borderId="11" xfId="58" applyFont="1" applyFill="1" applyBorder="1" applyAlignment="1">
      <alignment horizontal="left" vertical="center" wrapText="1"/>
      <protection/>
    </xf>
    <xf numFmtId="0" fontId="20" fillId="0" borderId="10" xfId="0" applyFont="1" applyBorder="1" applyAlignment="1">
      <alignment horizontal="left" wrapText="1"/>
    </xf>
    <xf numFmtId="0" fontId="39" fillId="0" borderId="18"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48" fillId="0" borderId="16" xfId="0" applyFont="1" applyBorder="1" applyAlignment="1">
      <alignment horizontal="left"/>
    </xf>
    <xf numFmtId="0" fontId="49" fillId="24" borderId="0" xfId="0" applyFont="1" applyFill="1" applyAlignment="1">
      <alignment horizontal="left"/>
    </xf>
    <xf numFmtId="0" fontId="49" fillId="24" borderId="0" xfId="0" applyFont="1" applyFill="1" applyAlignment="1">
      <alignment horizontal="right"/>
    </xf>
    <xf numFmtId="180" fontId="20" fillId="24" borderId="15" xfId="0" applyNumberFormat="1" applyFont="1" applyFill="1" applyBorder="1" applyAlignment="1">
      <alignment horizontal="right" wrapText="1"/>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0" fontId="20" fillId="24" borderId="1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0" fontId="17" fillId="24" borderId="0" xfId="0" applyFont="1" applyFill="1" applyAlignment="1">
      <alignment wrapText="1"/>
    </xf>
    <xf numFmtId="0" fontId="0" fillId="24" borderId="0" xfId="0" applyFont="1" applyFill="1" applyAlignment="1">
      <alignment wrapText="1"/>
    </xf>
    <xf numFmtId="0" fontId="39" fillId="0" borderId="14" xfId="0" applyFont="1" applyFill="1" applyBorder="1" applyAlignment="1">
      <alignment horizontal="left" vertical="center" wrapText="1"/>
    </xf>
    <xf numFmtId="0" fontId="20" fillId="24" borderId="10" xfId="0" applyFont="1" applyFill="1" applyBorder="1" applyAlignment="1">
      <alignment horizontal="right" wrapText="1"/>
    </xf>
    <xf numFmtId="3" fontId="27" fillId="24" borderId="10" xfId="0" applyNumberFormat="1" applyFont="1" applyFill="1" applyBorder="1" applyAlignment="1">
      <alignment horizontal="right" wrapText="1"/>
    </xf>
    <xf numFmtId="180" fontId="27" fillId="24" borderId="10" xfId="0" applyNumberFormat="1" applyFont="1" applyFill="1" applyBorder="1" applyAlignment="1">
      <alignment horizontal="right" wrapText="1"/>
    </xf>
    <xf numFmtId="3" fontId="20" fillId="25" borderId="10" xfId="0" applyNumberFormat="1" applyFont="1" applyFill="1" applyBorder="1" applyAlignment="1">
      <alignment horizontal="right" wrapText="1"/>
    </xf>
    <xf numFmtId="0" fontId="17" fillId="25" borderId="0" xfId="0" applyFont="1" applyFill="1" applyAlignment="1">
      <alignment wrapText="1"/>
    </xf>
    <xf numFmtId="0" fontId="0" fillId="25" borderId="0" xfId="0" applyFont="1" applyFill="1" applyAlignment="1">
      <alignment wrapText="1"/>
    </xf>
    <xf numFmtId="0" fontId="28" fillId="24" borderId="10" xfId="0" applyFont="1" applyFill="1" applyBorder="1" applyAlignment="1">
      <alignment horizontal="left" wrapText="1"/>
    </xf>
    <xf numFmtId="49" fontId="20" fillId="24" borderId="10" xfId="0" applyNumberFormat="1" applyFont="1" applyFill="1" applyBorder="1" applyAlignment="1">
      <alignment horizontal="right" wrapText="1"/>
    </xf>
    <xf numFmtId="49" fontId="20" fillId="24" borderId="14" xfId="0" applyNumberFormat="1" applyFont="1" applyFill="1" applyBorder="1" applyAlignment="1">
      <alignment horizontal="right" wrapText="1"/>
    </xf>
    <xf numFmtId="49" fontId="20" fillId="0" borderId="10" xfId="0" applyNumberFormat="1" applyFont="1" applyFill="1" applyBorder="1" applyAlignment="1">
      <alignment horizontal="right" wrapText="1"/>
    </xf>
    <xf numFmtId="49" fontId="20" fillId="0" borderId="10" xfId="0" applyNumberFormat="1" applyFont="1" applyBorder="1" applyAlignment="1">
      <alignment horizontal="right"/>
    </xf>
    <xf numFmtId="49" fontId="20" fillId="0" borderId="10" xfId="0" applyNumberFormat="1" applyFont="1" applyFill="1" applyBorder="1" applyAlignment="1">
      <alignment horizontal="right" wrapText="1"/>
    </xf>
    <xf numFmtId="49" fontId="34" fillId="0" borderId="10" xfId="0" applyNumberFormat="1" applyFont="1" applyFill="1" applyBorder="1" applyAlignment="1">
      <alignment horizontal="right" wrapText="1"/>
    </xf>
    <xf numFmtId="49" fontId="27" fillId="22" borderId="10" xfId="0" applyNumberFormat="1" applyFont="1" applyFill="1" applyBorder="1" applyAlignment="1">
      <alignment horizontal="right" wrapText="1"/>
    </xf>
    <xf numFmtId="49" fontId="36" fillId="24" borderId="10" xfId="0" applyNumberFormat="1" applyFont="1" applyFill="1" applyBorder="1" applyAlignment="1">
      <alignment horizontal="right" wrapText="1"/>
    </xf>
    <xf numFmtId="49" fontId="34" fillId="24" borderId="10" xfId="0" applyNumberFormat="1" applyFont="1" applyFill="1" applyBorder="1" applyAlignment="1">
      <alignment horizontal="right" wrapText="1"/>
    </xf>
    <xf numFmtId="49" fontId="27" fillId="24" borderId="10" xfId="0" applyNumberFormat="1" applyFont="1" applyFill="1" applyBorder="1" applyAlignment="1">
      <alignment horizontal="right" wrapText="1"/>
    </xf>
    <xf numFmtId="1" fontId="9" fillId="24" borderId="0" xfId="0" applyNumberFormat="1" applyFont="1" applyFill="1" applyAlignment="1">
      <alignment wrapText="1"/>
    </xf>
    <xf numFmtId="0" fontId="20" fillId="24" borderId="12" xfId="0" applyFont="1" applyFill="1" applyBorder="1" applyAlignment="1">
      <alignment horizontal="left" wrapText="1"/>
    </xf>
    <xf numFmtId="3" fontId="45" fillId="24" borderId="13" xfId="0" applyNumberFormat="1" applyFont="1" applyFill="1" applyBorder="1" applyAlignment="1">
      <alignment horizontal="right" wrapText="1"/>
    </xf>
    <xf numFmtId="3" fontId="27"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49" fontId="20" fillId="24" borderId="14" xfId="0" applyNumberFormat="1" applyFont="1" applyFill="1" applyBorder="1" applyAlignment="1">
      <alignment horizontal="right" wrapText="1"/>
    </xf>
    <xf numFmtId="0" fontId="20" fillId="24" borderId="14" xfId="0" applyFont="1" applyFill="1" applyBorder="1" applyAlignment="1">
      <alignment horizontal="left" wrapText="1"/>
    </xf>
    <xf numFmtId="0" fontId="40" fillId="0" borderId="19"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0" fillId="0" borderId="10" xfId="0" applyFont="1" applyFill="1" applyBorder="1" applyAlignment="1">
      <alignment horizontal="left" vertical="center" wrapText="1"/>
    </xf>
    <xf numFmtId="49" fontId="20" fillId="24" borderId="15" xfId="0" applyNumberFormat="1" applyFont="1" applyFill="1" applyBorder="1" applyAlignment="1">
      <alignment horizontal="right" wrapText="1"/>
    </xf>
    <xf numFmtId="49" fontId="20" fillId="24" borderId="15" xfId="0" applyNumberFormat="1" applyFont="1" applyFill="1" applyBorder="1" applyAlignment="1">
      <alignment horizontal="right" wrapText="1"/>
    </xf>
    <xf numFmtId="3" fontId="34" fillId="0" borderId="13" xfId="0" applyNumberFormat="1" applyFont="1" applyFill="1" applyBorder="1" applyAlignment="1">
      <alignment horizontal="right" wrapText="1"/>
    </xf>
    <xf numFmtId="3" fontId="36" fillId="24" borderId="10" xfId="0" applyNumberFormat="1" applyFont="1" applyFill="1" applyBorder="1" applyAlignment="1">
      <alignment horizontal="right" wrapText="1"/>
    </xf>
    <xf numFmtId="0" fontId="40" fillId="0" borderId="18" xfId="0" applyFont="1" applyFill="1" applyBorder="1" applyAlignment="1">
      <alignment horizontal="left" vertical="center" wrapText="1"/>
    </xf>
    <xf numFmtId="0" fontId="40" fillId="0" borderId="14" xfId="0" applyFont="1" applyFill="1" applyBorder="1" applyAlignment="1">
      <alignment horizontal="left" vertical="center" wrapText="1"/>
    </xf>
    <xf numFmtId="3" fontId="0" fillId="0" borderId="0" xfId="0" applyNumberFormat="1" applyFont="1" applyFill="1" applyAlignment="1">
      <alignment wrapText="1"/>
    </xf>
    <xf numFmtId="3" fontId="34" fillId="25" borderId="10" xfId="0" applyNumberFormat="1" applyFont="1" applyFill="1" applyBorder="1" applyAlignment="1">
      <alignment horizontal="right" wrapText="1"/>
    </xf>
    <xf numFmtId="180" fontId="36" fillId="24" borderId="10" xfId="0" applyNumberFormat="1" applyFont="1" applyFill="1" applyBorder="1" applyAlignment="1">
      <alignment horizontal="right" wrapText="1"/>
    </xf>
    <xf numFmtId="180" fontId="34" fillId="24" borderId="12" xfId="0" applyNumberFormat="1" applyFont="1" applyFill="1" applyBorder="1" applyAlignment="1">
      <alignment horizontal="right" wrapText="1"/>
    </xf>
    <xf numFmtId="180" fontId="40" fillId="0" borderId="19" xfId="67" applyNumberFormat="1" applyFont="1" applyFill="1" applyBorder="1" applyAlignment="1">
      <alignment horizontal="right" wrapText="1"/>
    </xf>
    <xf numFmtId="3" fontId="40" fillId="0" borderId="18" xfId="0" applyNumberFormat="1" applyFont="1" applyFill="1" applyBorder="1" applyAlignment="1">
      <alignment horizontal="right" wrapText="1"/>
    </xf>
    <xf numFmtId="0" fontId="26" fillId="24" borderId="0" xfId="0" applyFont="1" applyFill="1" applyBorder="1" applyAlignment="1">
      <alignment horizontal="center" wrapText="1"/>
    </xf>
    <xf numFmtId="0" fontId="51" fillId="0" borderId="0" xfId="0" applyFont="1" applyAlignment="1">
      <alignment horizontal="left"/>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5" xfId="58"/>
    <cellStyle name="Обычный_Бюджет розвитку 2014_17.09.2013 2" xfId="59"/>
    <cellStyle name="Обычный_Лист1 2" xfId="60"/>
    <cellStyle name="Обычный_ПЛАН Бюджету розвитку на 2013_деп.економіки" xfId="61"/>
    <cellStyle name="Followed Hyperlink" xfId="62"/>
    <cellStyle name="Плохой" xfId="63"/>
    <cellStyle name="Пояснение" xfId="64"/>
    <cellStyle name="Примечание" xfId="65"/>
    <cellStyle name="Percent" xfId="66"/>
    <cellStyle name="Процентный 2" xfId="67"/>
    <cellStyle name="Процентный 2 3" xfId="68"/>
    <cellStyle name="Процентный 5" xfId="69"/>
    <cellStyle name="Связанная ячейка" xfId="70"/>
    <cellStyle name="Текст предупреждения" xfId="71"/>
    <cellStyle name="Comma" xfId="72"/>
    <cellStyle name="Comma [0]"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O11">
            <v>3077301</v>
          </cell>
        </row>
        <row r="13">
          <cell r="O13">
            <v>3049214</v>
          </cell>
        </row>
        <row r="15">
          <cell r="O15">
            <v>11800</v>
          </cell>
        </row>
        <row r="37">
          <cell r="O37">
            <v>61442125</v>
          </cell>
        </row>
        <row r="41">
          <cell r="O41">
            <v>9501258</v>
          </cell>
        </row>
        <row r="43">
          <cell r="O43">
            <v>9569251</v>
          </cell>
        </row>
        <row r="46">
          <cell r="O46">
            <v>160050</v>
          </cell>
        </row>
        <row r="50">
          <cell r="O50">
            <v>600955</v>
          </cell>
        </row>
        <row r="52">
          <cell r="O52">
            <v>15000</v>
          </cell>
        </row>
        <row r="53">
          <cell r="O53">
            <v>17400</v>
          </cell>
        </row>
        <row r="54">
          <cell r="O54">
            <v>197485</v>
          </cell>
        </row>
        <row r="55">
          <cell r="O55">
            <v>136010</v>
          </cell>
        </row>
        <row r="56">
          <cell r="O56">
            <v>104320</v>
          </cell>
        </row>
        <row r="68">
          <cell r="O68">
            <v>225400</v>
          </cell>
        </row>
        <row r="74">
          <cell r="O74">
            <v>37851827</v>
          </cell>
        </row>
        <row r="83">
          <cell r="O83">
            <v>6000</v>
          </cell>
        </row>
        <row r="89">
          <cell r="O89">
            <v>60394929</v>
          </cell>
        </row>
        <row r="91">
          <cell r="O91">
            <v>106365</v>
          </cell>
        </row>
        <row r="93">
          <cell r="O93">
            <v>34937007</v>
          </cell>
        </row>
        <row r="96">
          <cell r="O96">
            <v>2761249</v>
          </cell>
        </row>
        <row r="98">
          <cell r="O98">
            <v>4400</v>
          </cell>
        </row>
        <row r="101">
          <cell r="O101">
            <v>233010</v>
          </cell>
        </row>
        <row r="105">
          <cell r="O105">
            <v>5467452</v>
          </cell>
        </row>
        <row r="112">
          <cell r="O112">
            <v>16885446</v>
          </cell>
        </row>
        <row r="118">
          <cell r="O118">
            <v>6784671</v>
          </cell>
        </row>
        <row r="120">
          <cell r="O120">
            <v>1766140</v>
          </cell>
        </row>
        <row r="129">
          <cell r="O129">
            <v>124400</v>
          </cell>
        </row>
        <row r="181">
          <cell r="O181">
            <v>1084808</v>
          </cell>
        </row>
        <row r="183">
          <cell r="O183">
            <v>0</v>
          </cell>
        </row>
        <row r="187">
          <cell r="O187">
            <v>3809323</v>
          </cell>
        </row>
        <row r="212">
          <cell r="O212">
            <v>108000</v>
          </cell>
        </row>
        <row r="218">
          <cell r="O218">
            <v>3943491</v>
          </cell>
        </row>
        <row r="222">
          <cell r="O222">
            <v>75227</v>
          </cell>
        </row>
        <row r="223">
          <cell r="O223">
            <v>832843</v>
          </cell>
        </row>
        <row r="224">
          <cell r="O224">
            <v>2401277</v>
          </cell>
        </row>
        <row r="225">
          <cell r="O225">
            <v>410625</v>
          </cell>
        </row>
        <row r="229">
          <cell r="O229">
            <v>51000</v>
          </cell>
        </row>
        <row r="240">
          <cell r="O240">
            <v>1261552</v>
          </cell>
        </row>
        <row r="253">
          <cell r="O253">
            <v>401809808</v>
          </cell>
        </row>
        <row r="268">
          <cell r="O268">
            <v>224991173</v>
          </cell>
        </row>
        <row r="270">
          <cell r="O270">
            <v>2005589</v>
          </cell>
        </row>
        <row r="273">
          <cell r="O273">
            <v>2083465</v>
          </cell>
        </row>
        <row r="276">
          <cell r="O276">
            <v>70368385</v>
          </cell>
        </row>
        <row r="277">
          <cell r="O277">
            <v>3870326</v>
          </cell>
        </row>
        <row r="280">
          <cell r="O280">
            <v>37660868</v>
          </cell>
        </row>
        <row r="285">
          <cell r="O285">
            <v>3823526</v>
          </cell>
        </row>
        <row r="295">
          <cell r="O295">
            <v>609606</v>
          </cell>
        </row>
        <row r="309">
          <cell r="O309">
            <v>1213290</v>
          </cell>
        </row>
        <row r="313">
          <cell r="O313">
            <v>887560</v>
          </cell>
        </row>
        <row r="317">
          <cell r="O317">
            <v>72000</v>
          </cell>
        </row>
        <row r="318">
          <cell r="O318">
            <v>253730</v>
          </cell>
        </row>
        <row r="320">
          <cell r="O320">
            <v>39348</v>
          </cell>
        </row>
        <row r="322">
          <cell r="O322">
            <v>39348</v>
          </cell>
        </row>
        <row r="328">
          <cell r="O328">
            <v>11279308</v>
          </cell>
        </row>
        <row r="344">
          <cell r="O344">
            <v>54858691</v>
          </cell>
        </row>
        <row r="346">
          <cell r="O346">
            <v>6986</v>
          </cell>
        </row>
        <row r="350">
          <cell r="O350">
            <v>143525</v>
          </cell>
        </row>
        <row r="352">
          <cell r="O352">
            <v>5504049</v>
          </cell>
        </row>
        <row r="355">
          <cell r="O355">
            <v>11661651</v>
          </cell>
        </row>
        <row r="366">
          <cell r="O366">
            <v>1531097</v>
          </cell>
        </row>
        <row r="370">
          <cell r="O370">
            <v>1256377</v>
          </cell>
        </row>
        <row r="373">
          <cell r="O373">
            <v>274720</v>
          </cell>
        </row>
        <row r="374">
          <cell r="O374">
            <v>16474982</v>
          </cell>
        </row>
        <row r="376">
          <cell r="O376">
            <v>158701</v>
          </cell>
        </row>
        <row r="381">
          <cell r="O381">
            <v>7178541</v>
          </cell>
        </row>
        <row r="405">
          <cell r="O405">
            <v>11886944</v>
          </cell>
        </row>
        <row r="410">
          <cell r="O410">
            <v>7101544</v>
          </cell>
        </row>
        <row r="411">
          <cell r="O411">
            <v>4785400</v>
          </cell>
        </row>
        <row r="412">
          <cell r="O412">
            <v>50756</v>
          </cell>
        </row>
        <row r="414">
          <cell r="O414">
            <v>50756</v>
          </cell>
        </row>
        <row r="434">
          <cell r="O434">
            <v>438266</v>
          </cell>
        </row>
        <row r="455">
          <cell r="O455">
            <v>5669073</v>
          </cell>
        </row>
        <row r="457">
          <cell r="O457">
            <v>106297</v>
          </cell>
        </row>
        <row r="475">
          <cell r="O475">
            <v>3870376</v>
          </cell>
        </row>
        <row r="477">
          <cell r="O477">
            <v>56854</v>
          </cell>
        </row>
        <row r="479">
          <cell r="O479">
            <v>549324</v>
          </cell>
        </row>
        <row r="481">
          <cell r="O481">
            <v>3264198</v>
          </cell>
        </row>
        <row r="497">
          <cell r="O497">
            <v>2500000</v>
          </cell>
        </row>
        <row r="522">
          <cell r="O522">
            <v>487388</v>
          </cell>
        </row>
        <row r="526">
          <cell r="O526">
            <v>37398</v>
          </cell>
        </row>
        <row r="543">
          <cell r="O543">
            <v>526000</v>
          </cell>
        </row>
        <row r="563">
          <cell r="O563">
            <v>649647396</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527"/>
  <sheetViews>
    <sheetView tabSelected="1" view="pageBreakPreview" zoomScale="75" zoomScaleNormal="74" zoomScaleSheetLayoutView="75" zoomScalePageLayoutView="0" workbookViewId="0" topLeftCell="A1">
      <selection activeCell="F4" sqref="F4"/>
    </sheetView>
  </sheetViews>
  <sheetFormatPr defaultColWidth="9.140625" defaultRowHeight="15"/>
  <cols>
    <col min="1" max="1" width="13.8515625" style="1" customWidth="1"/>
    <col min="2" max="2" width="17.00390625" style="1" customWidth="1"/>
    <col min="3" max="3" width="17.28125" style="1" customWidth="1"/>
    <col min="4" max="4" width="53.7109375" style="2" customWidth="1"/>
    <col min="5" max="5" width="61.8515625" style="2" customWidth="1"/>
    <col min="6" max="6" width="16.28125" style="1" customWidth="1"/>
    <col min="7" max="7" width="14.140625" style="1" customWidth="1"/>
    <col min="8" max="8" width="15.8515625" style="1" customWidth="1"/>
    <col min="9" max="9" width="18.8515625" style="9" customWidth="1"/>
    <col min="10" max="10" width="13.140625" style="3" customWidth="1"/>
    <col min="11" max="11" width="18.7109375" style="3" customWidth="1"/>
    <col min="12" max="12" width="9.140625" style="3" customWidth="1"/>
    <col min="13" max="13" width="11.00390625" style="3" bestFit="1" customWidth="1"/>
    <col min="14" max="15" width="9.140625" style="3" customWidth="1"/>
    <col min="16" max="16" width="11.7109375" style="3" bestFit="1" customWidth="1"/>
    <col min="17" max="16384" width="9.140625" style="3" customWidth="1"/>
  </cols>
  <sheetData>
    <row r="1" spans="6:8" ht="31.5">
      <c r="F1" s="147" t="s">
        <v>349</v>
      </c>
      <c r="H1" s="13"/>
    </row>
    <row r="2" spans="6:8" ht="31.5">
      <c r="F2" s="147" t="s">
        <v>344</v>
      </c>
      <c r="H2" s="13"/>
    </row>
    <row r="3" spans="6:8" ht="30.75">
      <c r="F3" s="199" t="s">
        <v>214</v>
      </c>
      <c r="H3" s="4"/>
    </row>
    <row r="5" spans="1:9" ht="49.5" customHeight="1">
      <c r="A5" s="3"/>
      <c r="B5" s="3"/>
      <c r="C5" s="198" t="s">
        <v>350</v>
      </c>
      <c r="D5" s="198"/>
      <c r="E5" s="198"/>
      <c r="F5" s="198"/>
      <c r="G5" s="198"/>
      <c r="H5" s="198"/>
      <c r="I5" s="198"/>
    </row>
    <row r="6" spans="1:9" ht="15">
      <c r="A6" s="5"/>
      <c r="B6" s="5"/>
      <c r="C6" s="5"/>
      <c r="D6" s="6"/>
      <c r="E6" s="6"/>
      <c r="F6" s="5"/>
      <c r="G6" s="5"/>
      <c r="H6" s="5"/>
      <c r="I6" s="10"/>
    </row>
    <row r="7" spans="1:9" ht="15">
      <c r="A7" s="5"/>
      <c r="B7" s="5"/>
      <c r="C7" s="5"/>
      <c r="D7" s="6"/>
      <c r="E7" s="6"/>
      <c r="F7" s="5"/>
      <c r="G7" s="5"/>
      <c r="H7" s="5"/>
      <c r="I7" s="10" t="s">
        <v>351</v>
      </c>
    </row>
    <row r="8" spans="1:9" s="8" customFormat="1" ht="110.25">
      <c r="A8" s="12" t="s">
        <v>352</v>
      </c>
      <c r="B8" s="12" t="s">
        <v>353</v>
      </c>
      <c r="C8" s="12" t="s">
        <v>365</v>
      </c>
      <c r="D8" s="12" t="s">
        <v>366</v>
      </c>
      <c r="E8" s="12" t="s">
        <v>345</v>
      </c>
      <c r="F8" s="12" t="s">
        <v>502</v>
      </c>
      <c r="G8" s="12" t="s">
        <v>503</v>
      </c>
      <c r="H8" s="12" t="s">
        <v>504</v>
      </c>
      <c r="I8" s="98" t="s">
        <v>505</v>
      </c>
    </row>
    <row r="9" spans="1:11" s="8" customFormat="1" ht="15">
      <c r="A9" s="7">
        <v>1</v>
      </c>
      <c r="B9" s="7">
        <v>2</v>
      </c>
      <c r="C9" s="7">
        <v>3</v>
      </c>
      <c r="D9" s="7">
        <v>4</v>
      </c>
      <c r="E9" s="7">
        <v>5</v>
      </c>
      <c r="F9" s="7">
        <v>6</v>
      </c>
      <c r="G9" s="7">
        <v>7</v>
      </c>
      <c r="H9" s="7">
        <v>8</v>
      </c>
      <c r="I9" s="11">
        <v>9</v>
      </c>
      <c r="K9" s="74"/>
    </row>
    <row r="10" spans="1:12" s="26" customFormat="1" ht="18.75" customHeight="1">
      <c r="A10" s="23"/>
      <c r="B10" s="23" t="s">
        <v>506</v>
      </c>
      <c r="C10" s="23"/>
      <c r="D10" s="24" t="s">
        <v>507</v>
      </c>
      <c r="E10" s="24"/>
      <c r="F10" s="25">
        <f>SUM(F15:F16)-F16</f>
        <v>0</v>
      </c>
      <c r="G10" s="25"/>
      <c r="H10" s="25">
        <f>SUM(H15:H16)-H16</f>
        <v>0</v>
      </c>
      <c r="I10" s="25">
        <f>SUM(I11:I19)-I16-I12-I14-I19</f>
        <v>3077301</v>
      </c>
      <c r="J10" s="75">
        <f>'[1]Місто'!$O$11-I10</f>
        <v>0</v>
      </c>
      <c r="K10" s="34"/>
      <c r="L10" s="75"/>
    </row>
    <row r="11" spans="1:12" s="26" customFormat="1" ht="21" customHeight="1">
      <c r="A11" s="14"/>
      <c r="B11" s="14" t="s">
        <v>508</v>
      </c>
      <c r="C11" s="166" t="s">
        <v>113</v>
      </c>
      <c r="D11" s="15" t="s">
        <v>509</v>
      </c>
      <c r="E11" s="15" t="s">
        <v>510</v>
      </c>
      <c r="F11" s="19"/>
      <c r="G11" s="19"/>
      <c r="H11" s="19"/>
      <c r="I11" s="19">
        <f>'[1]Місто'!$O$13</f>
        <v>3049214</v>
      </c>
      <c r="J11" s="77"/>
      <c r="L11" s="77"/>
    </row>
    <row r="12" spans="1:12" s="26" customFormat="1" ht="18" customHeight="1" hidden="1">
      <c r="A12" s="14"/>
      <c r="B12" s="14"/>
      <c r="C12" s="14"/>
      <c r="D12" s="15"/>
      <c r="E12" s="15" t="s">
        <v>513</v>
      </c>
      <c r="F12" s="19"/>
      <c r="G12" s="19"/>
      <c r="H12" s="19"/>
      <c r="I12" s="19"/>
      <c r="J12" s="77"/>
      <c r="L12" s="77"/>
    </row>
    <row r="13" spans="1:12" s="26" customFormat="1" ht="18.75" customHeight="1">
      <c r="A13" s="14"/>
      <c r="B13" s="14">
        <v>120201</v>
      </c>
      <c r="C13" s="166" t="s">
        <v>139</v>
      </c>
      <c r="D13" s="15" t="s">
        <v>305</v>
      </c>
      <c r="E13" s="15" t="s">
        <v>510</v>
      </c>
      <c r="F13" s="19"/>
      <c r="G13" s="19"/>
      <c r="H13" s="19"/>
      <c r="I13" s="19">
        <f>'[1]Місто'!$O$15</f>
        <v>11800</v>
      </c>
      <c r="J13" s="77"/>
      <c r="L13" s="77"/>
    </row>
    <row r="14" spans="1:12" s="26" customFormat="1" ht="18.75" customHeight="1" hidden="1">
      <c r="A14" s="14"/>
      <c r="B14" s="14"/>
      <c r="C14" s="14"/>
      <c r="D14" s="15"/>
      <c r="E14" s="15" t="s">
        <v>513</v>
      </c>
      <c r="F14" s="19"/>
      <c r="G14" s="19"/>
      <c r="H14" s="19"/>
      <c r="I14" s="19"/>
      <c r="J14" s="77"/>
      <c r="L14" s="77"/>
    </row>
    <row r="15" spans="1:12" s="20" customFormat="1" ht="30.75" hidden="1">
      <c r="A15" s="14"/>
      <c r="B15" s="14">
        <v>150101</v>
      </c>
      <c r="C15" s="14"/>
      <c r="D15" s="15" t="s">
        <v>511</v>
      </c>
      <c r="E15" s="15" t="s">
        <v>512</v>
      </c>
      <c r="F15" s="17"/>
      <c r="G15" s="18"/>
      <c r="H15" s="17"/>
      <c r="I15" s="19"/>
      <c r="J15" s="78"/>
      <c r="L15" s="78"/>
    </row>
    <row r="16" spans="1:12" s="20" customFormat="1" ht="15.75" hidden="1">
      <c r="A16" s="14"/>
      <c r="B16" s="14"/>
      <c r="C16" s="14"/>
      <c r="D16" s="35"/>
      <c r="E16" s="15" t="s">
        <v>513</v>
      </c>
      <c r="F16" s="17"/>
      <c r="G16" s="18"/>
      <c r="H16" s="17"/>
      <c r="I16" s="19"/>
      <c r="J16" s="78"/>
      <c r="L16" s="78"/>
    </row>
    <row r="17" spans="1:12" s="20" customFormat="1" ht="45.75">
      <c r="A17" s="14"/>
      <c r="B17" s="14">
        <v>180409</v>
      </c>
      <c r="C17" s="166" t="s">
        <v>114</v>
      </c>
      <c r="D17" s="15" t="s">
        <v>253</v>
      </c>
      <c r="E17" s="15" t="s">
        <v>268</v>
      </c>
      <c r="F17" s="17"/>
      <c r="G17" s="150"/>
      <c r="H17" s="17"/>
      <c r="I17" s="19">
        <f>I19</f>
        <v>16287</v>
      </c>
      <c r="J17" s="78"/>
      <c r="L17" s="78"/>
    </row>
    <row r="18" spans="1:12" s="20" customFormat="1" ht="15.75">
      <c r="A18" s="14"/>
      <c r="B18" s="14"/>
      <c r="C18" s="166"/>
      <c r="D18" s="15"/>
      <c r="E18" s="92" t="s">
        <v>309</v>
      </c>
      <c r="F18" s="17"/>
      <c r="G18" s="150"/>
      <c r="H18" s="17"/>
      <c r="I18" s="19"/>
      <c r="J18" s="78"/>
      <c r="L18" s="78"/>
    </row>
    <row r="19" spans="1:12" s="20" customFormat="1" ht="48" customHeight="1">
      <c r="A19" s="14"/>
      <c r="B19" s="14"/>
      <c r="C19" s="166"/>
      <c r="D19" s="15"/>
      <c r="E19" s="33" t="s">
        <v>197</v>
      </c>
      <c r="F19" s="17"/>
      <c r="G19" s="150"/>
      <c r="H19" s="17"/>
      <c r="I19" s="19">
        <f>24546-8259</f>
        <v>16287</v>
      </c>
      <c r="J19" s="78"/>
      <c r="L19" s="78"/>
    </row>
    <row r="20" spans="1:12" s="36" customFormat="1" ht="31.5">
      <c r="A20" s="23"/>
      <c r="B20" s="23">
        <v>10</v>
      </c>
      <c r="C20" s="23"/>
      <c r="D20" s="24" t="s">
        <v>514</v>
      </c>
      <c r="E20" s="24"/>
      <c r="F20" s="25">
        <f>F22+F24+F26+F28+F32+F36+F40+F42+F44+F46+F48+F50+F52+F21+F31+F30+F54+F55+F38+F34+F35+F56+F57+F58+F59+F66+F60+F62+F63+F64+F65</f>
        <v>180165321</v>
      </c>
      <c r="G20" s="72"/>
      <c r="H20" s="25">
        <f>H22+H24+H26+H28+H32+H36+H40+H42+H44+H46+H48+H50+H52+H21+H31+H30+H54+H55+H38+H34+H35+H56+H57+H58+H59+H66+H60+H62+H63+H64+H65</f>
        <v>136444843</v>
      </c>
      <c r="I20" s="25">
        <f>I22+I24+I26+I28+I32+I36+I40+I42+I44+I46+I48+I50+I52+I21+I31+I30+I54+I55+I38+I34+I35+I56+I57+I58+I59+I66+I60+I62+I63+I64+I65+I61</f>
        <v>61442125</v>
      </c>
      <c r="J20" s="75">
        <f>'[1]Місто'!$O$37-I20</f>
        <v>0</v>
      </c>
      <c r="K20" s="73">
        <f>I44+I46+I50+I52+I56+I57+I58+I59+I60+I61</f>
        <v>37851827</v>
      </c>
      <c r="L20" s="82">
        <f>'[1]Місто'!$O$74-K20</f>
        <v>0</v>
      </c>
    </row>
    <row r="21" spans="1:12" s="26" customFormat="1" ht="21" customHeight="1" hidden="1">
      <c r="A21" s="14"/>
      <c r="B21" s="14" t="s">
        <v>508</v>
      </c>
      <c r="C21" s="14"/>
      <c r="D21" s="15" t="s">
        <v>509</v>
      </c>
      <c r="E21" s="15" t="s">
        <v>510</v>
      </c>
      <c r="F21" s="19"/>
      <c r="G21" s="19"/>
      <c r="H21" s="19"/>
      <c r="I21" s="19"/>
      <c r="J21" s="77"/>
      <c r="L21" s="77"/>
    </row>
    <row r="22" spans="1:12" s="20" customFormat="1" ht="15.75">
      <c r="A22" s="37"/>
      <c r="B22" s="37" t="s">
        <v>515</v>
      </c>
      <c r="C22" s="169" t="s">
        <v>115</v>
      </c>
      <c r="D22" s="38" t="s">
        <v>516</v>
      </c>
      <c r="E22" s="15" t="s">
        <v>510</v>
      </c>
      <c r="F22" s="17"/>
      <c r="G22" s="18"/>
      <c r="H22" s="17"/>
      <c r="I22" s="40">
        <f>'[1]Місто'!$O$41</f>
        <v>9501258</v>
      </c>
      <c r="J22" s="78"/>
      <c r="L22" s="78"/>
    </row>
    <row r="23" spans="1:12" s="20" customFormat="1" ht="15.75" hidden="1">
      <c r="A23" s="37"/>
      <c r="B23" s="37"/>
      <c r="C23" s="37"/>
      <c r="D23" s="38"/>
      <c r="E23" s="15" t="s">
        <v>513</v>
      </c>
      <c r="F23" s="17"/>
      <c r="G23" s="18"/>
      <c r="H23" s="17"/>
      <c r="I23" s="19"/>
      <c r="J23" s="78"/>
      <c r="L23" s="78"/>
    </row>
    <row r="24" spans="1:12" s="20" customFormat="1" ht="45.75">
      <c r="A24" s="37"/>
      <c r="B24" s="37" t="s">
        <v>517</v>
      </c>
      <c r="C24" s="169" t="s">
        <v>116</v>
      </c>
      <c r="D24" s="39" t="s">
        <v>518</v>
      </c>
      <c r="E24" s="15" t="s">
        <v>510</v>
      </c>
      <c r="F24" s="17"/>
      <c r="G24" s="18"/>
      <c r="H24" s="17"/>
      <c r="I24" s="19">
        <f>'[1]Місто'!$O$43</f>
        <v>9569251</v>
      </c>
      <c r="J24" s="78"/>
      <c r="L24" s="78"/>
    </row>
    <row r="25" spans="1:12" s="20" customFormat="1" ht="15.75" hidden="1">
      <c r="A25" s="37"/>
      <c r="B25" s="37"/>
      <c r="C25" s="37"/>
      <c r="D25" s="39"/>
      <c r="E25" s="15" t="s">
        <v>513</v>
      </c>
      <c r="F25" s="17"/>
      <c r="G25" s="18"/>
      <c r="H25" s="17"/>
      <c r="I25" s="40"/>
      <c r="J25" s="78"/>
      <c r="L25" s="78"/>
    </row>
    <row r="26" spans="1:12" s="20" customFormat="1" ht="15.75">
      <c r="A26" s="37"/>
      <c r="B26" s="37" t="s">
        <v>312</v>
      </c>
      <c r="C26" s="169" t="s">
        <v>116</v>
      </c>
      <c r="D26" s="39" t="s">
        <v>313</v>
      </c>
      <c r="E26" s="15" t="s">
        <v>510</v>
      </c>
      <c r="F26" s="17"/>
      <c r="G26" s="18"/>
      <c r="H26" s="17"/>
      <c r="I26" s="19">
        <f>'[1]Місто'!$O$46</f>
        <v>160050</v>
      </c>
      <c r="J26" s="78"/>
      <c r="L26" s="78"/>
    </row>
    <row r="27" spans="1:12" s="20" customFormat="1" ht="15.75" hidden="1">
      <c r="A27" s="37"/>
      <c r="B27" s="37"/>
      <c r="C27" s="37"/>
      <c r="D27" s="39"/>
      <c r="E27" s="15" t="s">
        <v>513</v>
      </c>
      <c r="F27" s="17"/>
      <c r="G27" s="18"/>
      <c r="H27" s="17"/>
      <c r="I27" s="40"/>
      <c r="J27" s="78"/>
      <c r="L27" s="78"/>
    </row>
    <row r="28" spans="1:12" s="20" customFormat="1" ht="30.75">
      <c r="A28" s="37"/>
      <c r="B28" s="37" t="s">
        <v>519</v>
      </c>
      <c r="C28" s="169" t="s">
        <v>117</v>
      </c>
      <c r="D28" s="39" t="s">
        <v>520</v>
      </c>
      <c r="E28" s="15" t="s">
        <v>510</v>
      </c>
      <c r="F28" s="17"/>
      <c r="G28" s="18"/>
      <c r="H28" s="17"/>
      <c r="I28" s="19">
        <f>'[1]Місто'!$O$50</f>
        <v>600955</v>
      </c>
      <c r="J28" s="78"/>
      <c r="L28" s="78"/>
    </row>
    <row r="29" spans="1:12" s="20" customFormat="1" ht="15.75" hidden="1">
      <c r="A29" s="37"/>
      <c r="B29" s="37"/>
      <c r="C29" s="37"/>
      <c r="D29" s="39"/>
      <c r="E29" s="15" t="s">
        <v>513</v>
      </c>
      <c r="F29" s="17"/>
      <c r="G29" s="18"/>
      <c r="H29" s="17"/>
      <c r="I29" s="40"/>
      <c r="J29" s="78"/>
      <c r="L29" s="78"/>
    </row>
    <row r="30" spans="1:12" s="20" customFormat="1" ht="30.75">
      <c r="A30" s="37"/>
      <c r="B30" s="37" t="s">
        <v>257</v>
      </c>
      <c r="C30" s="169" t="s">
        <v>118</v>
      </c>
      <c r="D30" s="39" t="s">
        <v>258</v>
      </c>
      <c r="E30" s="15" t="s">
        <v>510</v>
      </c>
      <c r="F30" s="17"/>
      <c r="G30" s="18"/>
      <c r="H30" s="17"/>
      <c r="I30" s="40">
        <f>'[1]Місто'!$O$52</f>
        <v>15000</v>
      </c>
      <c r="J30" s="78"/>
      <c r="L30" s="78"/>
    </row>
    <row r="31" spans="1:12" s="20" customFormat="1" ht="45.75">
      <c r="A31" s="37"/>
      <c r="B31" s="37" t="s">
        <v>18</v>
      </c>
      <c r="C31" s="169" t="s">
        <v>118</v>
      </c>
      <c r="D31" s="39" t="s">
        <v>19</v>
      </c>
      <c r="E31" s="15" t="s">
        <v>510</v>
      </c>
      <c r="F31" s="17"/>
      <c r="G31" s="18"/>
      <c r="H31" s="17"/>
      <c r="I31" s="40">
        <f>'[1]Місто'!$O$53</f>
        <v>17400</v>
      </c>
      <c r="J31" s="78"/>
      <c r="L31" s="78"/>
    </row>
    <row r="32" spans="1:12" s="20" customFormat="1" ht="30.75">
      <c r="A32" s="37"/>
      <c r="B32" s="37" t="s">
        <v>529</v>
      </c>
      <c r="C32" s="169" t="s">
        <v>118</v>
      </c>
      <c r="D32" s="39" t="s">
        <v>530</v>
      </c>
      <c r="E32" s="15" t="s">
        <v>510</v>
      </c>
      <c r="F32" s="17"/>
      <c r="G32" s="18"/>
      <c r="H32" s="17"/>
      <c r="I32" s="19">
        <f>'[1]Місто'!$O$54</f>
        <v>197485</v>
      </c>
      <c r="J32" s="78"/>
      <c r="L32" s="78"/>
    </row>
    <row r="33" spans="1:12" s="20" customFormat="1" ht="15.75" hidden="1">
      <c r="A33" s="37"/>
      <c r="B33" s="37"/>
      <c r="C33" s="37"/>
      <c r="D33" s="39"/>
      <c r="E33" s="15" t="s">
        <v>513</v>
      </c>
      <c r="F33" s="17"/>
      <c r="G33" s="18"/>
      <c r="H33" s="17"/>
      <c r="I33" s="40"/>
      <c r="J33" s="78"/>
      <c r="L33" s="78"/>
    </row>
    <row r="34" spans="1:12" s="20" customFormat="1" ht="30.75">
      <c r="A34" s="37"/>
      <c r="B34" s="37" t="s">
        <v>255</v>
      </c>
      <c r="C34" s="169" t="s">
        <v>118</v>
      </c>
      <c r="D34" s="39" t="s">
        <v>256</v>
      </c>
      <c r="E34" s="15" t="s">
        <v>510</v>
      </c>
      <c r="F34" s="17"/>
      <c r="G34" s="18"/>
      <c r="H34" s="17"/>
      <c r="I34" s="40">
        <f>'[1]Місто'!$O$55</f>
        <v>136010</v>
      </c>
      <c r="J34" s="78"/>
      <c r="L34" s="78"/>
    </row>
    <row r="35" spans="1:12" s="20" customFormat="1" ht="15.75">
      <c r="A35" s="37"/>
      <c r="B35" s="37" t="s">
        <v>16</v>
      </c>
      <c r="C35" s="169" t="s">
        <v>118</v>
      </c>
      <c r="D35" s="144" t="s">
        <v>42</v>
      </c>
      <c r="E35" s="15" t="s">
        <v>510</v>
      </c>
      <c r="F35" s="17"/>
      <c r="G35" s="18"/>
      <c r="H35" s="17"/>
      <c r="I35" s="40">
        <f>'[1]Місто'!$O$56</f>
        <v>104320</v>
      </c>
      <c r="J35" s="78"/>
      <c r="L35" s="78"/>
    </row>
    <row r="36" spans="1:12" s="20" customFormat="1" ht="30.75">
      <c r="A36" s="37"/>
      <c r="B36" s="37" t="s">
        <v>320</v>
      </c>
      <c r="C36" s="169" t="s">
        <v>119</v>
      </c>
      <c r="D36" s="39" t="s">
        <v>321</v>
      </c>
      <c r="E36" s="15" t="s">
        <v>510</v>
      </c>
      <c r="F36" s="17"/>
      <c r="G36" s="18"/>
      <c r="H36" s="17"/>
      <c r="I36" s="19">
        <f>'[1]Місто'!$O$68</f>
        <v>225400</v>
      </c>
      <c r="J36" s="78"/>
      <c r="L36" s="78"/>
    </row>
    <row r="37" spans="1:12" s="20" customFormat="1" ht="15.75" hidden="1">
      <c r="A37" s="37"/>
      <c r="B37" s="37"/>
      <c r="C37" s="37"/>
      <c r="D37" s="39"/>
      <c r="E37" s="15" t="s">
        <v>513</v>
      </c>
      <c r="F37" s="17"/>
      <c r="G37" s="18"/>
      <c r="H37" s="17"/>
      <c r="I37" s="40"/>
      <c r="J37" s="78"/>
      <c r="L37" s="78"/>
    </row>
    <row r="38" spans="1:12" s="20" customFormat="1" ht="15.75" hidden="1">
      <c r="A38" s="88"/>
      <c r="B38" s="88" t="s">
        <v>318</v>
      </c>
      <c r="C38" s="88"/>
      <c r="D38" s="39" t="s">
        <v>319</v>
      </c>
      <c r="E38" s="15" t="s">
        <v>510</v>
      </c>
      <c r="F38" s="43"/>
      <c r="G38" s="44"/>
      <c r="H38" s="17"/>
      <c r="I38" s="40"/>
      <c r="J38" s="78"/>
      <c r="L38" s="78"/>
    </row>
    <row r="39" spans="1:12" s="20" customFormat="1" ht="15.75" hidden="1">
      <c r="A39" s="51"/>
      <c r="B39" s="51"/>
      <c r="C39" s="167"/>
      <c r="D39" s="52"/>
      <c r="E39" s="52" t="s">
        <v>513</v>
      </c>
      <c r="F39" s="53"/>
      <c r="G39" s="49"/>
      <c r="H39" s="17"/>
      <c r="I39" s="19"/>
      <c r="J39" s="78"/>
      <c r="L39" s="78"/>
    </row>
    <row r="40" spans="1:12" s="56" customFormat="1" ht="60.75" hidden="1">
      <c r="A40" s="54"/>
      <c r="B40" s="54">
        <v>150101</v>
      </c>
      <c r="C40" s="168"/>
      <c r="D40" s="22" t="s">
        <v>511</v>
      </c>
      <c r="E40" s="22" t="s">
        <v>525</v>
      </c>
      <c r="F40" s="19"/>
      <c r="G40" s="49"/>
      <c r="H40" s="19"/>
      <c r="I40" s="19"/>
      <c r="J40" s="79"/>
      <c r="L40" s="79"/>
    </row>
    <row r="41" spans="1:12" s="20" customFormat="1" ht="15.75" hidden="1">
      <c r="A41" s="51"/>
      <c r="B41" s="51"/>
      <c r="C41" s="167"/>
      <c r="D41" s="52"/>
      <c r="E41" s="52" t="s">
        <v>513</v>
      </c>
      <c r="F41" s="53"/>
      <c r="G41" s="49"/>
      <c r="H41" s="17"/>
      <c r="I41" s="19"/>
      <c r="J41" s="78"/>
      <c r="L41" s="78"/>
    </row>
    <row r="42" spans="1:12" s="20" customFormat="1" ht="45.75" hidden="1">
      <c r="A42" s="54"/>
      <c r="B42" s="54">
        <v>150101</v>
      </c>
      <c r="C42" s="168"/>
      <c r="D42" s="22" t="s">
        <v>511</v>
      </c>
      <c r="E42" s="22" t="s">
        <v>526</v>
      </c>
      <c r="F42" s="19"/>
      <c r="G42" s="55"/>
      <c r="H42" s="19"/>
      <c r="I42" s="19"/>
      <c r="J42" s="78"/>
      <c r="L42" s="78"/>
    </row>
    <row r="43" spans="1:12" s="20" customFormat="1" ht="15.75" hidden="1">
      <c r="A43" s="54"/>
      <c r="B43" s="54"/>
      <c r="C43" s="168"/>
      <c r="D43" s="22"/>
      <c r="E43" s="22" t="s">
        <v>513</v>
      </c>
      <c r="F43" s="19"/>
      <c r="G43" s="55"/>
      <c r="H43" s="19"/>
      <c r="I43" s="19"/>
      <c r="J43" s="78"/>
      <c r="L43" s="78"/>
    </row>
    <row r="44" spans="1:12" s="20" customFormat="1" ht="45.75">
      <c r="A44" s="14"/>
      <c r="B44" s="14">
        <v>150101</v>
      </c>
      <c r="C44" s="166" t="s">
        <v>114</v>
      </c>
      <c r="D44" s="15" t="s">
        <v>511</v>
      </c>
      <c r="E44" s="15" t="s">
        <v>24</v>
      </c>
      <c r="F44" s="17">
        <v>18053400</v>
      </c>
      <c r="G44" s="55">
        <f>100-(H44/F44*100)</f>
        <v>62.921017647645314</v>
      </c>
      <c r="H44" s="19">
        <v>6694017</v>
      </c>
      <c r="I44" s="19">
        <v>6694017</v>
      </c>
      <c r="J44" s="78"/>
      <c r="L44" s="78"/>
    </row>
    <row r="45" spans="1:12" s="20" customFormat="1" ht="15.75" hidden="1">
      <c r="A45" s="14"/>
      <c r="B45" s="14"/>
      <c r="C45" s="58"/>
      <c r="D45" s="15"/>
      <c r="E45" s="15" t="s">
        <v>513</v>
      </c>
      <c r="F45" s="17"/>
      <c r="G45" s="55"/>
      <c r="H45" s="17"/>
      <c r="I45" s="19"/>
      <c r="J45" s="78"/>
      <c r="L45" s="78"/>
    </row>
    <row r="46" spans="1:12" s="20" customFormat="1" ht="45.75">
      <c r="A46" s="14"/>
      <c r="B46" s="14">
        <v>150101</v>
      </c>
      <c r="C46" s="166" t="s">
        <v>114</v>
      </c>
      <c r="D46" s="15" t="s">
        <v>511</v>
      </c>
      <c r="E46" s="15" t="s">
        <v>335</v>
      </c>
      <c r="F46" s="17">
        <v>4860000</v>
      </c>
      <c r="G46" s="55">
        <f>100-(H46/F46*100)</f>
        <v>3.1767078189300406</v>
      </c>
      <c r="H46" s="17">
        <v>4705612</v>
      </c>
      <c r="I46" s="19">
        <v>200000</v>
      </c>
      <c r="J46" s="78"/>
      <c r="L46" s="78"/>
    </row>
    <row r="47" spans="1:12" s="20" customFormat="1" ht="15.75" hidden="1">
      <c r="A47" s="14"/>
      <c r="B47" s="14"/>
      <c r="C47" s="58"/>
      <c r="D47" s="15"/>
      <c r="E47" s="15" t="s">
        <v>513</v>
      </c>
      <c r="F47" s="17"/>
      <c r="G47" s="18"/>
      <c r="H47" s="17"/>
      <c r="I47" s="19"/>
      <c r="J47" s="78"/>
      <c r="L47" s="78"/>
    </row>
    <row r="48" spans="1:12" s="56" customFormat="1" ht="30.75" hidden="1">
      <c r="A48" s="54"/>
      <c r="B48" s="54">
        <v>150101</v>
      </c>
      <c r="C48" s="168"/>
      <c r="D48" s="22" t="s">
        <v>511</v>
      </c>
      <c r="E48" s="15" t="s">
        <v>25</v>
      </c>
      <c r="F48" s="19"/>
      <c r="G48" s="55"/>
      <c r="H48" s="19"/>
      <c r="I48" s="19"/>
      <c r="J48" s="79"/>
      <c r="L48" s="79"/>
    </row>
    <row r="49" spans="1:12" s="20" customFormat="1" ht="15.75" hidden="1">
      <c r="A49" s="14"/>
      <c r="B49" s="14"/>
      <c r="C49" s="58"/>
      <c r="D49" s="15"/>
      <c r="E49" s="15" t="s">
        <v>513</v>
      </c>
      <c r="F49" s="17"/>
      <c r="G49" s="55"/>
      <c r="H49" s="17"/>
      <c r="I49" s="19"/>
      <c r="J49" s="78"/>
      <c r="L49" s="78"/>
    </row>
    <row r="50" spans="1:12" s="20" customFormat="1" ht="45.75">
      <c r="A50" s="14"/>
      <c r="B50" s="14">
        <v>150101</v>
      </c>
      <c r="C50" s="166" t="s">
        <v>114</v>
      </c>
      <c r="D50" s="15" t="s">
        <v>511</v>
      </c>
      <c r="E50" s="15" t="s">
        <v>26</v>
      </c>
      <c r="F50" s="17">
        <v>10913280</v>
      </c>
      <c r="G50" s="55">
        <f>100-(H50/F50*100)</f>
        <v>19.91458113417781</v>
      </c>
      <c r="H50" s="85">
        <f>5477300+3262646</f>
        <v>8739946</v>
      </c>
      <c r="I50" s="17">
        <f>5477300+3262646</f>
        <v>8739946</v>
      </c>
      <c r="J50" s="78"/>
      <c r="L50" s="78"/>
    </row>
    <row r="51" spans="1:12" s="20" customFormat="1" ht="16.5" customHeight="1" hidden="1">
      <c r="A51" s="14"/>
      <c r="B51" s="14"/>
      <c r="C51" s="58"/>
      <c r="D51" s="15"/>
      <c r="E51" s="15" t="s">
        <v>513</v>
      </c>
      <c r="F51" s="17"/>
      <c r="G51" s="55"/>
      <c r="H51" s="17"/>
      <c r="I51" s="19"/>
      <c r="J51" s="78"/>
      <c r="L51" s="78"/>
    </row>
    <row r="52" spans="1:12" s="56" customFormat="1" ht="30.75">
      <c r="A52" s="54"/>
      <c r="B52" s="54">
        <v>150101</v>
      </c>
      <c r="C52" s="170" t="s">
        <v>114</v>
      </c>
      <c r="D52" s="22" t="s">
        <v>511</v>
      </c>
      <c r="E52" s="15" t="s">
        <v>13</v>
      </c>
      <c r="F52" s="19">
        <v>99995818</v>
      </c>
      <c r="G52" s="55">
        <f>100-(H52/F52*100)</f>
        <v>21.466350722787226</v>
      </c>
      <c r="H52" s="19">
        <v>78530365</v>
      </c>
      <c r="I52" s="19">
        <f>9869564-1628085</f>
        <v>8241479</v>
      </c>
      <c r="J52" s="79"/>
      <c r="L52" s="79"/>
    </row>
    <row r="53" spans="1:12" s="56" customFormat="1" ht="15.75" hidden="1">
      <c r="A53" s="54"/>
      <c r="B53" s="54"/>
      <c r="C53" s="168"/>
      <c r="D53" s="22"/>
      <c r="E53" s="15" t="s">
        <v>513</v>
      </c>
      <c r="F53" s="19"/>
      <c r="G53" s="55"/>
      <c r="H53" s="19"/>
      <c r="I53" s="19"/>
      <c r="J53" s="79"/>
      <c r="L53" s="79"/>
    </row>
    <row r="54" spans="1:12" s="56" customFormat="1" ht="45.75" hidden="1">
      <c r="A54" s="54"/>
      <c r="B54" s="54">
        <v>150101</v>
      </c>
      <c r="C54" s="168"/>
      <c r="D54" s="22" t="s">
        <v>511</v>
      </c>
      <c r="E54" s="15" t="s">
        <v>336</v>
      </c>
      <c r="F54" s="93"/>
      <c r="G54" s="94"/>
      <c r="H54" s="93"/>
      <c r="I54" s="93"/>
      <c r="J54" s="79"/>
      <c r="L54" s="79"/>
    </row>
    <row r="55" spans="1:12" s="56" customFormat="1" ht="45.75" hidden="1">
      <c r="A55" s="54"/>
      <c r="B55" s="54">
        <v>150101</v>
      </c>
      <c r="C55" s="168"/>
      <c r="D55" s="22" t="s">
        <v>511</v>
      </c>
      <c r="E55" s="15" t="s">
        <v>337</v>
      </c>
      <c r="F55" s="93"/>
      <c r="G55" s="94"/>
      <c r="H55" s="93"/>
      <c r="I55" s="93"/>
      <c r="J55" s="79"/>
      <c r="L55" s="79"/>
    </row>
    <row r="56" spans="1:12" s="56" customFormat="1" ht="45.75">
      <c r="A56" s="54"/>
      <c r="B56" s="54">
        <v>150101</v>
      </c>
      <c r="C56" s="170" t="s">
        <v>114</v>
      </c>
      <c r="D56" s="22" t="s">
        <v>511</v>
      </c>
      <c r="E56" s="92" t="s">
        <v>369</v>
      </c>
      <c r="F56" s="19">
        <v>13134537</v>
      </c>
      <c r="G56" s="55">
        <f aca="true" t="shared" si="0" ref="G56:G65">100-(H56/F56*100)</f>
        <v>8.027363278964458</v>
      </c>
      <c r="H56" s="86">
        <f>12080180</f>
        <v>12080180</v>
      </c>
      <c r="I56" s="86">
        <f>12080180-1369646+1369646</f>
        <v>12080180</v>
      </c>
      <c r="J56" s="79"/>
      <c r="L56" s="79"/>
    </row>
    <row r="57" spans="1:12" s="56" customFormat="1" ht="45.75">
      <c r="A57" s="54"/>
      <c r="B57" s="54">
        <v>150101</v>
      </c>
      <c r="C57" s="170" t="s">
        <v>114</v>
      </c>
      <c r="D57" s="22" t="s">
        <v>511</v>
      </c>
      <c r="E57" s="92" t="s">
        <v>57</v>
      </c>
      <c r="F57" s="19">
        <v>500000</v>
      </c>
      <c r="G57" s="55">
        <f t="shared" si="0"/>
        <v>0</v>
      </c>
      <c r="H57" s="19">
        <v>500000</v>
      </c>
      <c r="I57" s="19">
        <v>500000</v>
      </c>
      <c r="J57" s="79"/>
      <c r="L57" s="79"/>
    </row>
    <row r="58" spans="1:12" s="56" customFormat="1" ht="45.75">
      <c r="A58" s="54"/>
      <c r="B58" s="54">
        <v>150101</v>
      </c>
      <c r="C58" s="170" t="s">
        <v>114</v>
      </c>
      <c r="D58" s="22" t="s">
        <v>511</v>
      </c>
      <c r="E58" s="92" t="s">
        <v>56</v>
      </c>
      <c r="F58" s="19">
        <v>350000</v>
      </c>
      <c r="G58" s="55">
        <f t="shared" si="0"/>
        <v>0</v>
      </c>
      <c r="H58" s="19">
        <v>350000</v>
      </c>
      <c r="I58" s="19">
        <v>350000</v>
      </c>
      <c r="J58" s="79"/>
      <c r="L58" s="79"/>
    </row>
    <row r="59" spans="1:12" s="56" customFormat="1" ht="45.75">
      <c r="A59" s="54"/>
      <c r="B59" s="54">
        <v>150101</v>
      </c>
      <c r="C59" s="170" t="s">
        <v>114</v>
      </c>
      <c r="D59" s="22" t="s">
        <v>511</v>
      </c>
      <c r="E59" s="92" t="s">
        <v>373</v>
      </c>
      <c r="F59" s="19">
        <v>1000000</v>
      </c>
      <c r="G59" s="55">
        <f t="shared" si="0"/>
        <v>0</v>
      </c>
      <c r="H59" s="19">
        <v>1000000</v>
      </c>
      <c r="I59" s="19">
        <v>603076</v>
      </c>
      <c r="J59" s="79"/>
      <c r="L59" s="79"/>
    </row>
    <row r="60" spans="1:12" s="56" customFormat="1" ht="60.75">
      <c r="A60" s="54"/>
      <c r="B60" s="54">
        <v>150101</v>
      </c>
      <c r="C60" s="170" t="s">
        <v>114</v>
      </c>
      <c r="D60" s="22" t="s">
        <v>511</v>
      </c>
      <c r="E60" s="92" t="s">
        <v>54</v>
      </c>
      <c r="F60" s="19">
        <v>619012</v>
      </c>
      <c r="G60" s="55">
        <f t="shared" si="0"/>
        <v>43.88687133690462</v>
      </c>
      <c r="H60" s="19">
        <v>347347</v>
      </c>
      <c r="I60" s="19">
        <v>347347</v>
      </c>
      <c r="J60" s="79"/>
      <c r="L60" s="79"/>
    </row>
    <row r="61" spans="1:12" s="56" customFormat="1" ht="45.75">
      <c r="A61" s="54"/>
      <c r="B61" s="54">
        <v>150101</v>
      </c>
      <c r="C61" s="170" t="s">
        <v>114</v>
      </c>
      <c r="D61" s="22" t="s">
        <v>511</v>
      </c>
      <c r="E61" s="177" t="s">
        <v>180</v>
      </c>
      <c r="F61" s="86">
        <v>1752892</v>
      </c>
      <c r="G61" s="139">
        <f t="shared" si="0"/>
        <v>0</v>
      </c>
      <c r="H61" s="86">
        <v>1752892</v>
      </c>
      <c r="I61" s="86">
        <v>95782</v>
      </c>
      <c r="J61" s="79"/>
      <c r="L61" s="79"/>
    </row>
    <row r="62" spans="1:12" s="56" customFormat="1" ht="45.75">
      <c r="A62" s="54"/>
      <c r="B62" s="54">
        <v>150110</v>
      </c>
      <c r="C62" s="170" t="s">
        <v>157</v>
      </c>
      <c r="D62" s="177" t="s">
        <v>160</v>
      </c>
      <c r="E62" s="42" t="s">
        <v>523</v>
      </c>
      <c r="F62" s="43">
        <v>6379139</v>
      </c>
      <c r="G62" s="44">
        <f t="shared" si="0"/>
        <v>72.80433926898286</v>
      </c>
      <c r="H62" s="17">
        <v>1734849</v>
      </c>
      <c r="I62" s="19">
        <v>457169</v>
      </c>
      <c r="J62" s="79"/>
      <c r="L62" s="79"/>
    </row>
    <row r="63" spans="1:12" s="56" customFormat="1" ht="45.75">
      <c r="A63" s="54"/>
      <c r="B63" s="54">
        <v>150110</v>
      </c>
      <c r="C63" s="170" t="s">
        <v>157</v>
      </c>
      <c r="D63" s="177" t="s">
        <v>160</v>
      </c>
      <c r="E63" s="47" t="s">
        <v>524</v>
      </c>
      <c r="F63" s="86">
        <v>9880230</v>
      </c>
      <c r="G63" s="195">
        <f t="shared" si="0"/>
        <v>13.045212510235089</v>
      </c>
      <c r="H63" s="86">
        <v>8591333</v>
      </c>
      <c r="I63" s="86">
        <f>2000000</f>
        <v>2000000</v>
      </c>
      <c r="J63" s="79"/>
      <c r="L63" s="79"/>
    </row>
    <row r="64" spans="1:12" s="56" customFormat="1" ht="45.75">
      <c r="A64" s="54"/>
      <c r="B64" s="54">
        <v>150110</v>
      </c>
      <c r="C64" s="170" t="s">
        <v>157</v>
      </c>
      <c r="D64" s="177" t="s">
        <v>160</v>
      </c>
      <c r="E64" s="92" t="s">
        <v>145</v>
      </c>
      <c r="F64" s="19">
        <v>350000</v>
      </c>
      <c r="G64" s="55">
        <f t="shared" si="0"/>
        <v>0</v>
      </c>
      <c r="H64" s="19">
        <v>350000</v>
      </c>
      <c r="I64" s="19">
        <v>350000</v>
      </c>
      <c r="J64" s="79"/>
      <c r="L64" s="79"/>
    </row>
    <row r="65" spans="1:12" s="56" customFormat="1" ht="45.75">
      <c r="A65" s="54"/>
      <c r="B65" s="54">
        <v>150112</v>
      </c>
      <c r="C65" s="170" t="s">
        <v>117</v>
      </c>
      <c r="D65" s="177" t="s">
        <v>161</v>
      </c>
      <c r="E65" s="15" t="s">
        <v>1</v>
      </c>
      <c r="F65" s="19">
        <v>14129905</v>
      </c>
      <c r="G65" s="55">
        <f t="shared" si="0"/>
        <v>9.261994330464361</v>
      </c>
      <c r="H65" s="19">
        <v>12821194</v>
      </c>
      <c r="I65" s="19">
        <v>250000</v>
      </c>
      <c r="J65" s="79"/>
      <c r="L65" s="79"/>
    </row>
    <row r="66" spans="1:12" s="56" customFormat="1" ht="15.75">
      <c r="A66" s="14"/>
      <c r="B66" s="14">
        <v>200700</v>
      </c>
      <c r="C66" s="166" t="s">
        <v>120</v>
      </c>
      <c r="D66" s="92" t="s">
        <v>55</v>
      </c>
      <c r="E66" s="15" t="s">
        <v>510</v>
      </c>
      <c r="F66" s="19"/>
      <c r="G66" s="55"/>
      <c r="H66" s="19"/>
      <c r="I66" s="19">
        <f>'[1]Місто'!$O$83</f>
        <v>6000</v>
      </c>
      <c r="J66" s="79"/>
      <c r="L66" s="79"/>
    </row>
    <row r="67" spans="1:12" s="26" customFormat="1" ht="31.5">
      <c r="A67" s="23"/>
      <c r="B67" s="23">
        <v>14</v>
      </c>
      <c r="C67" s="23"/>
      <c r="D67" s="24" t="s">
        <v>27</v>
      </c>
      <c r="E67" s="24"/>
      <c r="F67" s="25">
        <f>F81+F83+F86+F88+F90+F92+F99+F94+F101+F103+F105+F107+F109+F110+F111+F112+F113+F114+F115+F68+F69+F71+F73+F75+F77</f>
        <v>92382636</v>
      </c>
      <c r="G67" s="25"/>
      <c r="H67" s="25">
        <f>H81+H83+H86+H88+H90+H92+H99+H94+H101+H103+H105+H107+H109+H110+H111+H112+H113+H114+H115+H68+H69+H71+H73+H75+H77</f>
        <v>69745107</v>
      </c>
      <c r="I67" s="25">
        <f>I81+I83+I86+I88+I90+I92+I99+I94+I101+I103+I105+I107+I109+I110+I111+I112+I113+I114+I115+I68+I69+I71+I73+I75+I77</f>
        <v>60394929</v>
      </c>
      <c r="J67" s="75">
        <f>'[1]Місто'!$O$89-I67</f>
        <v>0</v>
      </c>
      <c r="K67" s="34">
        <f>I81+I83+I86+I88+I90+I92+I94+I99+I101+I103+I105+I107+I109+I110+I111+I112+I113+I114+I115</f>
        <v>16885446</v>
      </c>
      <c r="L67" s="75">
        <f>'[1]Місто'!$O$112-K67</f>
        <v>0</v>
      </c>
    </row>
    <row r="68" spans="1:12" s="26" customFormat="1" ht="21" customHeight="1">
      <c r="A68" s="14"/>
      <c r="B68" s="14" t="s">
        <v>508</v>
      </c>
      <c r="C68" s="166" t="s">
        <v>113</v>
      </c>
      <c r="D68" s="15" t="s">
        <v>509</v>
      </c>
      <c r="E68" s="15" t="s">
        <v>510</v>
      </c>
      <c r="F68" s="19"/>
      <c r="G68" s="19"/>
      <c r="H68" s="19"/>
      <c r="I68" s="71">
        <f>'[1]Місто'!$O$91</f>
        <v>106365</v>
      </c>
      <c r="J68" s="77"/>
      <c r="L68" s="77"/>
    </row>
    <row r="69" spans="1:12" s="20" customFormat="1" ht="15.75">
      <c r="A69" s="14"/>
      <c r="B69" s="14" t="s">
        <v>28</v>
      </c>
      <c r="C69" s="166" t="s">
        <v>121</v>
      </c>
      <c r="D69" s="15" t="s">
        <v>29</v>
      </c>
      <c r="E69" s="15" t="s">
        <v>510</v>
      </c>
      <c r="F69" s="17"/>
      <c r="G69" s="18"/>
      <c r="H69" s="17"/>
      <c r="I69" s="40">
        <f>'[1]Місто'!$O$93</f>
        <v>34937007</v>
      </c>
      <c r="J69" s="78"/>
      <c r="L69" s="78"/>
    </row>
    <row r="70" spans="1:12" s="20" customFormat="1" ht="15.75" hidden="1">
      <c r="A70" s="14"/>
      <c r="B70" s="14"/>
      <c r="C70" s="58"/>
      <c r="D70" s="15"/>
      <c r="E70" s="22" t="s">
        <v>513</v>
      </c>
      <c r="F70" s="17"/>
      <c r="G70" s="18"/>
      <c r="H70" s="17"/>
      <c r="I70" s="19"/>
      <c r="J70" s="78"/>
      <c r="L70" s="78"/>
    </row>
    <row r="71" spans="1:12" s="20" customFormat="1" ht="15.75">
      <c r="A71" s="14"/>
      <c r="B71" s="14" t="s">
        <v>30</v>
      </c>
      <c r="C71" s="166" t="s">
        <v>122</v>
      </c>
      <c r="D71" s="15" t="s">
        <v>31</v>
      </c>
      <c r="E71" s="15" t="s">
        <v>510</v>
      </c>
      <c r="F71" s="17"/>
      <c r="G71" s="18"/>
      <c r="H71" s="17"/>
      <c r="I71" s="19">
        <f>'[1]Місто'!$O$96</f>
        <v>2761249</v>
      </c>
      <c r="J71" s="78"/>
      <c r="L71" s="78"/>
    </row>
    <row r="72" spans="1:12" s="20" customFormat="1" ht="15.75" hidden="1">
      <c r="A72" s="14"/>
      <c r="B72" s="14"/>
      <c r="C72" s="58"/>
      <c r="D72" s="15"/>
      <c r="E72" s="22" t="s">
        <v>513</v>
      </c>
      <c r="F72" s="17"/>
      <c r="G72" s="18"/>
      <c r="H72" s="17"/>
      <c r="I72" s="19"/>
      <c r="J72" s="78"/>
      <c r="L72" s="78"/>
    </row>
    <row r="73" spans="1:12" s="20" customFormat="1" ht="30.75" customHeight="1">
      <c r="A73" s="14"/>
      <c r="B73" s="14" t="s">
        <v>32</v>
      </c>
      <c r="C73" s="166" t="s">
        <v>123</v>
      </c>
      <c r="D73" s="15" t="s">
        <v>33</v>
      </c>
      <c r="E73" s="15" t="s">
        <v>510</v>
      </c>
      <c r="F73" s="17"/>
      <c r="G73" s="18"/>
      <c r="H73" s="17"/>
      <c r="I73" s="19">
        <f>'[1]Місто'!$O$98</f>
        <v>4400</v>
      </c>
      <c r="J73" s="78"/>
      <c r="L73" s="78"/>
    </row>
    <row r="74" spans="1:12" s="20" customFormat="1" ht="15.75" hidden="1">
      <c r="A74" s="14"/>
      <c r="B74" s="14"/>
      <c r="C74" s="58"/>
      <c r="D74" s="15"/>
      <c r="E74" s="22" t="s">
        <v>513</v>
      </c>
      <c r="F74" s="17"/>
      <c r="G74" s="18"/>
      <c r="H74" s="17"/>
      <c r="I74" s="19"/>
      <c r="J74" s="78"/>
      <c r="L74" s="78"/>
    </row>
    <row r="75" spans="1:12" s="20" customFormat="1" ht="30.75">
      <c r="A75" s="14"/>
      <c r="B75" s="14" t="s">
        <v>306</v>
      </c>
      <c r="C75" s="166" t="s">
        <v>124</v>
      </c>
      <c r="D75" s="15" t="s">
        <v>307</v>
      </c>
      <c r="E75" s="15" t="s">
        <v>510</v>
      </c>
      <c r="F75" s="17"/>
      <c r="G75" s="18"/>
      <c r="H75" s="17"/>
      <c r="I75" s="19">
        <f>'[1]Місто'!$O$101</f>
        <v>233010</v>
      </c>
      <c r="J75" s="78"/>
      <c r="L75" s="78"/>
    </row>
    <row r="76" spans="1:12" s="20" customFormat="1" ht="15.75" hidden="1">
      <c r="A76" s="14"/>
      <c r="B76" s="14"/>
      <c r="C76" s="58"/>
      <c r="D76" s="15"/>
      <c r="E76" s="22" t="s">
        <v>513</v>
      </c>
      <c r="F76" s="17"/>
      <c r="G76" s="18"/>
      <c r="H76" s="17"/>
      <c r="I76" s="19"/>
      <c r="J76" s="78"/>
      <c r="L76" s="78"/>
    </row>
    <row r="77" spans="1:12" s="20" customFormat="1" ht="30.75">
      <c r="A77" s="57"/>
      <c r="B77" s="57" t="s">
        <v>527</v>
      </c>
      <c r="C77" s="166" t="s">
        <v>125</v>
      </c>
      <c r="D77" s="15" t="s">
        <v>528</v>
      </c>
      <c r="E77" s="15" t="s">
        <v>510</v>
      </c>
      <c r="F77" s="17"/>
      <c r="G77" s="18"/>
      <c r="H77" s="17"/>
      <c r="I77" s="19">
        <f>'[1]Місто'!$O$105</f>
        <v>5467452</v>
      </c>
      <c r="J77" s="78"/>
      <c r="L77" s="78"/>
    </row>
    <row r="78" spans="1:12" s="20" customFormat="1" ht="15.75" hidden="1">
      <c r="A78" s="14"/>
      <c r="B78" s="14"/>
      <c r="C78" s="58"/>
      <c r="D78" s="15"/>
      <c r="E78" s="22" t="s">
        <v>513</v>
      </c>
      <c r="F78" s="17"/>
      <c r="G78" s="18"/>
      <c r="H78" s="17"/>
      <c r="I78" s="19"/>
      <c r="J78" s="78"/>
      <c r="L78" s="78"/>
    </row>
    <row r="79" spans="1:12" s="20" customFormat="1" ht="15.75" hidden="1">
      <c r="A79" s="14"/>
      <c r="B79" s="14">
        <v>81002</v>
      </c>
      <c r="C79" s="58"/>
      <c r="D79" s="15" t="s">
        <v>533</v>
      </c>
      <c r="E79" s="15" t="s">
        <v>510</v>
      </c>
      <c r="F79" s="17"/>
      <c r="G79" s="18"/>
      <c r="H79" s="17"/>
      <c r="I79" s="19"/>
      <c r="J79" s="78"/>
      <c r="L79" s="78"/>
    </row>
    <row r="80" spans="1:12" s="20" customFormat="1" ht="60.75" hidden="1">
      <c r="A80" s="14"/>
      <c r="B80" s="14">
        <v>81003</v>
      </c>
      <c r="C80" s="58"/>
      <c r="D80" s="15" t="s">
        <v>23</v>
      </c>
      <c r="E80" s="15" t="s">
        <v>510</v>
      </c>
      <c r="F80" s="17"/>
      <c r="G80" s="18"/>
      <c r="H80" s="17"/>
      <c r="I80" s="19"/>
      <c r="J80" s="78"/>
      <c r="L80" s="78"/>
    </row>
    <row r="81" spans="1:12" s="20" customFormat="1" ht="60" customHeight="1">
      <c r="A81" s="54"/>
      <c r="B81" s="54">
        <v>150101</v>
      </c>
      <c r="C81" s="170" t="s">
        <v>114</v>
      </c>
      <c r="D81" s="22" t="s">
        <v>511</v>
      </c>
      <c r="E81" s="22" t="s">
        <v>34</v>
      </c>
      <c r="F81" s="19">
        <v>8930226</v>
      </c>
      <c r="G81" s="55">
        <f>100-(H81/F81*100)</f>
        <v>44.501807681015016</v>
      </c>
      <c r="H81" s="19">
        <v>4956114</v>
      </c>
      <c r="I81" s="19">
        <f>4956114-1245773+138210</f>
        <v>3848551</v>
      </c>
      <c r="J81" s="78"/>
      <c r="L81" s="78"/>
    </row>
    <row r="82" spans="1:12" s="20" customFormat="1" ht="15.75" hidden="1">
      <c r="A82" s="54"/>
      <c r="B82" s="54"/>
      <c r="C82" s="168"/>
      <c r="D82" s="22"/>
      <c r="E82" s="22" t="s">
        <v>513</v>
      </c>
      <c r="F82" s="19"/>
      <c r="G82" s="55"/>
      <c r="H82" s="19"/>
      <c r="I82" s="19"/>
      <c r="J82" s="78"/>
      <c r="L82" s="78"/>
    </row>
    <row r="83" spans="1:12" s="138" customFormat="1" ht="60.75" customHeight="1">
      <c r="A83" s="54"/>
      <c r="B83" s="54">
        <v>150101</v>
      </c>
      <c r="C83" s="170" t="s">
        <v>114</v>
      </c>
      <c r="D83" s="22" t="s">
        <v>511</v>
      </c>
      <c r="E83" s="22" t="s">
        <v>35</v>
      </c>
      <c r="F83" s="19">
        <v>8142051</v>
      </c>
      <c r="G83" s="55">
        <f>100-(H83/F83*100)</f>
        <v>92.79236890066151</v>
      </c>
      <c r="H83" s="19">
        <v>586849</v>
      </c>
      <c r="I83" s="19">
        <v>586849</v>
      </c>
      <c r="J83" s="137"/>
      <c r="L83" s="137"/>
    </row>
    <row r="84" spans="1:12" s="56" customFormat="1" ht="15.75" hidden="1">
      <c r="A84" s="54"/>
      <c r="B84" s="54"/>
      <c r="C84" s="168"/>
      <c r="D84" s="22"/>
      <c r="E84" s="22" t="s">
        <v>513</v>
      </c>
      <c r="F84" s="19"/>
      <c r="G84" s="55"/>
      <c r="H84" s="19"/>
      <c r="I84" s="19"/>
      <c r="J84" s="79"/>
      <c r="L84" s="79"/>
    </row>
    <row r="85" spans="1:12" s="56" customFormat="1" ht="64.5" customHeight="1" hidden="1">
      <c r="A85" s="54"/>
      <c r="B85" s="54">
        <v>150101</v>
      </c>
      <c r="C85" s="168"/>
      <c r="D85" s="22" t="s">
        <v>511</v>
      </c>
      <c r="E85" s="22" t="s">
        <v>4</v>
      </c>
      <c r="F85" s="19"/>
      <c r="G85" s="55"/>
      <c r="H85" s="19"/>
      <c r="I85" s="19"/>
      <c r="J85" s="79"/>
      <c r="L85" s="79"/>
    </row>
    <row r="86" spans="1:12" s="56" customFormat="1" ht="78" customHeight="1">
      <c r="A86" s="54"/>
      <c r="B86" s="54">
        <v>150101</v>
      </c>
      <c r="C86" s="170" t="s">
        <v>114</v>
      </c>
      <c r="D86" s="22" t="s">
        <v>511</v>
      </c>
      <c r="E86" s="91" t="s">
        <v>38</v>
      </c>
      <c r="F86" s="19">
        <v>27395310</v>
      </c>
      <c r="G86" s="55">
        <f>100-(H86/F86*100)</f>
        <v>3.659531503750088</v>
      </c>
      <c r="H86" s="19">
        <v>26392770</v>
      </c>
      <c r="I86" s="19">
        <v>2000000</v>
      </c>
      <c r="J86" s="79"/>
      <c r="L86" s="79"/>
    </row>
    <row r="87" spans="1:12" s="56" customFormat="1" ht="15.75" hidden="1">
      <c r="A87" s="54"/>
      <c r="B87" s="54"/>
      <c r="C87" s="168"/>
      <c r="D87" s="22"/>
      <c r="E87" s="22" t="s">
        <v>513</v>
      </c>
      <c r="F87" s="19"/>
      <c r="G87" s="55"/>
      <c r="H87" s="19"/>
      <c r="I87" s="19"/>
      <c r="J87" s="79"/>
      <c r="L87" s="79"/>
    </row>
    <row r="88" spans="1:12" s="56" customFormat="1" ht="60.75">
      <c r="A88" s="54"/>
      <c r="B88" s="54">
        <v>150101</v>
      </c>
      <c r="C88" s="170" t="s">
        <v>114</v>
      </c>
      <c r="D88" s="22" t="s">
        <v>511</v>
      </c>
      <c r="E88" s="22" t="s">
        <v>299</v>
      </c>
      <c r="F88" s="19">
        <v>3575299</v>
      </c>
      <c r="G88" s="55">
        <f>100-(H88/F88*100)</f>
        <v>43.04059604525384</v>
      </c>
      <c r="H88" s="19">
        <v>2036469</v>
      </c>
      <c r="I88" s="19">
        <v>1558862</v>
      </c>
      <c r="J88" s="79"/>
      <c r="L88" s="79"/>
    </row>
    <row r="89" spans="1:12" s="56" customFormat="1" ht="15.75" hidden="1">
      <c r="A89" s="54"/>
      <c r="B89" s="54"/>
      <c r="C89" s="168"/>
      <c r="D89" s="22"/>
      <c r="E89" s="22" t="s">
        <v>513</v>
      </c>
      <c r="F89" s="19"/>
      <c r="G89" s="55"/>
      <c r="H89" s="19"/>
      <c r="I89" s="19"/>
      <c r="J89" s="79"/>
      <c r="L89" s="79"/>
    </row>
    <row r="90" spans="1:12" s="56" customFormat="1" ht="45.75">
      <c r="A90" s="54"/>
      <c r="B90" s="54">
        <v>150101</v>
      </c>
      <c r="C90" s="170" t="s">
        <v>114</v>
      </c>
      <c r="D90" s="22" t="s">
        <v>511</v>
      </c>
      <c r="E90" s="22" t="s">
        <v>311</v>
      </c>
      <c r="F90" s="86">
        <v>5540750</v>
      </c>
      <c r="G90" s="139">
        <f>100-(H90/F90*100)</f>
        <v>89.19469385913459</v>
      </c>
      <c r="H90" s="86">
        <v>598695</v>
      </c>
      <c r="I90" s="86">
        <v>598695</v>
      </c>
      <c r="J90" s="79"/>
      <c r="L90" s="79"/>
    </row>
    <row r="91" spans="1:12" s="56" customFormat="1" ht="45.75" hidden="1">
      <c r="A91" s="54"/>
      <c r="B91" s="54">
        <v>150101</v>
      </c>
      <c r="C91" s="168"/>
      <c r="D91" s="22" t="s">
        <v>511</v>
      </c>
      <c r="E91" s="91" t="s">
        <v>315</v>
      </c>
      <c r="F91" s="19">
        <v>2351685</v>
      </c>
      <c r="G91" s="55">
        <f>100-(H91/F91*100)</f>
        <v>8.038619117781508</v>
      </c>
      <c r="H91" s="19">
        <v>2162642</v>
      </c>
      <c r="I91" s="86"/>
      <c r="J91" s="79"/>
      <c r="L91" s="79"/>
    </row>
    <row r="92" spans="1:12" s="56" customFormat="1" ht="45.75">
      <c r="A92" s="54"/>
      <c r="B92" s="54">
        <v>150101</v>
      </c>
      <c r="C92" s="170" t="s">
        <v>114</v>
      </c>
      <c r="D92" s="22" t="s">
        <v>511</v>
      </c>
      <c r="E92" s="91" t="s">
        <v>58</v>
      </c>
      <c r="F92" s="19">
        <v>2620817</v>
      </c>
      <c r="G92" s="55">
        <f>100-(H92/F92*100)</f>
        <v>8.07896926798017</v>
      </c>
      <c r="H92" s="19">
        <v>2409082</v>
      </c>
      <c r="I92" s="19">
        <v>20907</v>
      </c>
      <c r="J92" s="79"/>
      <c r="L92" s="79"/>
    </row>
    <row r="93" spans="1:12" s="56" customFormat="1" ht="15.75" hidden="1">
      <c r="A93" s="54"/>
      <c r="B93" s="54"/>
      <c r="C93" s="168"/>
      <c r="D93" s="22"/>
      <c r="E93" s="22" t="s">
        <v>513</v>
      </c>
      <c r="F93" s="19"/>
      <c r="G93" s="55"/>
      <c r="H93" s="19"/>
      <c r="I93" s="19"/>
      <c r="J93" s="79"/>
      <c r="L93" s="79"/>
    </row>
    <row r="94" spans="1:12" s="56" customFormat="1" ht="64.5" customHeight="1">
      <c r="A94" s="54"/>
      <c r="B94" s="54">
        <v>150101</v>
      </c>
      <c r="C94" s="170" t="s">
        <v>114</v>
      </c>
      <c r="D94" s="22" t="s">
        <v>511</v>
      </c>
      <c r="E94" s="22" t="s">
        <v>314</v>
      </c>
      <c r="F94" s="19">
        <v>1801032</v>
      </c>
      <c r="G94" s="55">
        <f>100-(H94/F94*100)</f>
        <v>8.126396421607168</v>
      </c>
      <c r="H94" s="19">
        <v>1654673</v>
      </c>
      <c r="I94" s="19">
        <v>1654673</v>
      </c>
      <c r="J94" s="79"/>
      <c r="L94" s="79"/>
    </row>
    <row r="95" spans="1:12" s="56" customFormat="1" ht="15.75" hidden="1">
      <c r="A95" s="54"/>
      <c r="B95" s="54"/>
      <c r="C95" s="168"/>
      <c r="D95" s="22"/>
      <c r="E95" s="22"/>
      <c r="F95" s="19"/>
      <c r="G95" s="55"/>
      <c r="H95" s="19"/>
      <c r="I95" s="19"/>
      <c r="J95" s="79"/>
      <c r="L95" s="79"/>
    </row>
    <row r="96" spans="1:12" s="56" customFormat="1" ht="15.75" hidden="1">
      <c r="A96" s="54"/>
      <c r="B96" s="54"/>
      <c r="C96" s="168"/>
      <c r="D96" s="22"/>
      <c r="E96" s="22"/>
      <c r="F96" s="19"/>
      <c r="G96" s="55"/>
      <c r="H96" s="19"/>
      <c r="I96" s="19"/>
      <c r="J96" s="79"/>
      <c r="L96" s="79"/>
    </row>
    <row r="97" spans="1:12" s="56" customFormat="1" ht="15.75" hidden="1">
      <c r="A97" s="54"/>
      <c r="B97" s="54"/>
      <c r="C97" s="168"/>
      <c r="D97" s="22"/>
      <c r="E97" s="22"/>
      <c r="F97" s="19"/>
      <c r="G97" s="55"/>
      <c r="H97" s="19"/>
      <c r="I97" s="19"/>
      <c r="J97" s="79"/>
      <c r="L97" s="79"/>
    </row>
    <row r="98" spans="1:12" s="56" customFormat="1" ht="15.75" hidden="1">
      <c r="A98" s="54"/>
      <c r="B98" s="54"/>
      <c r="C98" s="168"/>
      <c r="D98" s="22"/>
      <c r="E98" s="22"/>
      <c r="F98" s="19"/>
      <c r="G98" s="55"/>
      <c r="H98" s="19"/>
      <c r="I98" s="19"/>
      <c r="J98" s="79"/>
      <c r="L98" s="79"/>
    </row>
    <row r="99" spans="1:12" s="56" customFormat="1" ht="45.75">
      <c r="A99" s="54"/>
      <c r="B99" s="54">
        <v>150101</v>
      </c>
      <c r="C99" s="170" t="s">
        <v>114</v>
      </c>
      <c r="D99" s="22" t="s">
        <v>511</v>
      </c>
      <c r="E99" s="22" t="s">
        <v>300</v>
      </c>
      <c r="F99" s="19">
        <v>320647</v>
      </c>
      <c r="G99" s="55">
        <f>100-(H99/F99*100)</f>
        <v>77.8201573693189</v>
      </c>
      <c r="H99" s="19">
        <v>71119</v>
      </c>
      <c r="I99" s="19">
        <v>11910</v>
      </c>
      <c r="J99" s="79"/>
      <c r="L99" s="79"/>
    </row>
    <row r="100" spans="1:12" s="56" customFormat="1" ht="16.5" customHeight="1" hidden="1">
      <c r="A100" s="54"/>
      <c r="B100" s="54"/>
      <c r="C100" s="168"/>
      <c r="D100" s="22"/>
      <c r="E100" s="22" t="s">
        <v>513</v>
      </c>
      <c r="F100" s="19"/>
      <c r="G100" s="55"/>
      <c r="H100" s="19"/>
      <c r="I100" s="19"/>
      <c r="J100" s="79"/>
      <c r="L100" s="79"/>
    </row>
    <row r="101" spans="1:12" s="56" customFormat="1" ht="63.75" customHeight="1">
      <c r="A101" s="54"/>
      <c r="B101" s="54">
        <v>150101</v>
      </c>
      <c r="C101" s="170" t="s">
        <v>114</v>
      </c>
      <c r="D101" s="22" t="s">
        <v>511</v>
      </c>
      <c r="E101" s="91" t="s">
        <v>375</v>
      </c>
      <c r="F101" s="19">
        <v>157510</v>
      </c>
      <c r="G101" s="55">
        <f>100-(H101/F101*100)</f>
        <v>94.84223223922291</v>
      </c>
      <c r="H101" s="19">
        <v>8124</v>
      </c>
      <c r="I101" s="19">
        <v>8124</v>
      </c>
      <c r="J101" s="79"/>
      <c r="L101" s="79"/>
    </row>
    <row r="102" spans="1:12" s="56" customFormat="1" ht="18" customHeight="1" hidden="1">
      <c r="A102" s="54"/>
      <c r="B102" s="54"/>
      <c r="C102" s="168"/>
      <c r="D102" s="22"/>
      <c r="E102" s="22" t="s">
        <v>513</v>
      </c>
      <c r="F102" s="19"/>
      <c r="G102" s="55"/>
      <c r="H102" s="19"/>
      <c r="I102" s="19"/>
      <c r="J102" s="79"/>
      <c r="L102" s="79"/>
    </row>
    <row r="103" spans="1:12" s="56" customFormat="1" ht="45.75">
      <c r="A103" s="54"/>
      <c r="B103" s="54">
        <v>150101</v>
      </c>
      <c r="C103" s="170" t="s">
        <v>114</v>
      </c>
      <c r="D103" s="22" t="s">
        <v>511</v>
      </c>
      <c r="E103" s="91" t="s">
        <v>447</v>
      </c>
      <c r="F103" s="19">
        <v>1517885</v>
      </c>
      <c r="G103" s="55">
        <f>100-(H103/F103*100)</f>
        <v>11.06256402823665</v>
      </c>
      <c r="H103" s="19">
        <v>1349968</v>
      </c>
      <c r="I103" s="19">
        <v>1349968</v>
      </c>
      <c r="J103" s="79"/>
      <c r="L103" s="79"/>
    </row>
    <row r="104" spans="1:12" s="56" customFormat="1" ht="45.75" hidden="1">
      <c r="A104" s="54"/>
      <c r="B104" s="54">
        <v>150101</v>
      </c>
      <c r="C104" s="168"/>
      <c r="D104" s="22" t="s">
        <v>511</v>
      </c>
      <c r="E104" s="22" t="s">
        <v>15</v>
      </c>
      <c r="F104" s="19">
        <v>4431452</v>
      </c>
      <c r="G104" s="55">
        <f>100-(H104/F104*100)</f>
        <v>3.599790768353131</v>
      </c>
      <c r="H104" s="19">
        <v>4271929</v>
      </c>
      <c r="I104" s="19"/>
      <c r="J104" s="79"/>
      <c r="L104" s="79"/>
    </row>
    <row r="105" spans="1:12" s="56" customFormat="1" ht="60" customHeight="1">
      <c r="A105" s="54"/>
      <c r="B105" s="54">
        <v>150101</v>
      </c>
      <c r="C105" s="170" t="s">
        <v>114</v>
      </c>
      <c r="D105" s="22" t="s">
        <v>511</v>
      </c>
      <c r="E105" s="22" t="s">
        <v>6</v>
      </c>
      <c r="F105" s="19">
        <v>415206</v>
      </c>
      <c r="G105" s="55">
        <f>100-(H105/F105*100)</f>
        <v>85.10859669657953</v>
      </c>
      <c r="H105" s="19">
        <v>61830</v>
      </c>
      <c r="I105" s="19">
        <v>61830</v>
      </c>
      <c r="J105" s="79"/>
      <c r="L105" s="79"/>
    </row>
    <row r="106" spans="1:12" s="56" customFormat="1" ht="15.75" hidden="1">
      <c r="A106" s="54"/>
      <c r="B106" s="54"/>
      <c r="C106" s="168"/>
      <c r="D106" s="22"/>
      <c r="E106" s="22" t="s">
        <v>513</v>
      </c>
      <c r="F106" s="19"/>
      <c r="G106" s="55"/>
      <c r="H106" s="19"/>
      <c r="I106" s="19"/>
      <c r="J106" s="79"/>
      <c r="L106" s="79"/>
    </row>
    <row r="107" spans="1:12" s="56" customFormat="1" ht="45.75">
      <c r="A107" s="54"/>
      <c r="B107" s="54">
        <v>150101</v>
      </c>
      <c r="C107" s="170" t="s">
        <v>114</v>
      </c>
      <c r="D107" s="22" t="s">
        <v>511</v>
      </c>
      <c r="E107" s="22" t="s">
        <v>334</v>
      </c>
      <c r="F107" s="19">
        <v>2647748</v>
      </c>
      <c r="G107" s="55">
        <f>100-(H107/F107*100)</f>
        <v>59.07948943781659</v>
      </c>
      <c r="H107" s="19">
        <v>1083472</v>
      </c>
      <c r="I107" s="19">
        <v>1083472</v>
      </c>
      <c r="J107" s="79"/>
      <c r="L107" s="79"/>
    </row>
    <row r="108" spans="1:12" s="56" customFormat="1" ht="15.75" hidden="1">
      <c r="A108" s="54"/>
      <c r="B108" s="54"/>
      <c r="C108" s="168"/>
      <c r="D108" s="22"/>
      <c r="E108" s="22" t="s">
        <v>513</v>
      </c>
      <c r="F108" s="19"/>
      <c r="G108" s="55"/>
      <c r="H108" s="19"/>
      <c r="I108" s="19"/>
      <c r="J108" s="79"/>
      <c r="L108" s="79"/>
    </row>
    <row r="109" spans="1:12" s="56" customFormat="1" ht="60.75">
      <c r="A109" s="83"/>
      <c r="B109" s="83">
        <v>150101</v>
      </c>
      <c r="C109" s="171" t="s">
        <v>114</v>
      </c>
      <c r="D109" s="22" t="s">
        <v>511</v>
      </c>
      <c r="E109" s="22" t="s">
        <v>338</v>
      </c>
      <c r="F109" s="86">
        <v>950000</v>
      </c>
      <c r="G109" s="55">
        <f aca="true" t="shared" si="1" ref="G109:G115">100-(H109/F109*100)</f>
        <v>0</v>
      </c>
      <c r="H109" s="86">
        <v>950000</v>
      </c>
      <c r="I109" s="86">
        <v>950000</v>
      </c>
      <c r="J109" s="79"/>
      <c r="L109" s="79"/>
    </row>
    <row r="110" spans="1:12" s="56" customFormat="1" ht="57.75" customHeight="1">
      <c r="A110" s="83"/>
      <c r="B110" s="83">
        <v>150101</v>
      </c>
      <c r="C110" s="171" t="s">
        <v>114</v>
      </c>
      <c r="D110" s="22" t="s">
        <v>511</v>
      </c>
      <c r="E110" s="22" t="s">
        <v>341</v>
      </c>
      <c r="F110" s="19">
        <v>9996002</v>
      </c>
      <c r="G110" s="55">
        <f t="shared" si="1"/>
        <v>1.4830129085608377</v>
      </c>
      <c r="H110" s="19">
        <v>9847760</v>
      </c>
      <c r="I110" s="86">
        <f>10000+9837760-9837760</f>
        <v>10000</v>
      </c>
      <c r="J110" s="79"/>
      <c r="L110" s="79"/>
    </row>
    <row r="111" spans="1:12" s="56" customFormat="1" ht="45.75">
      <c r="A111" s="83"/>
      <c r="B111" s="83">
        <v>150101</v>
      </c>
      <c r="C111" s="171" t="s">
        <v>114</v>
      </c>
      <c r="D111" s="22" t="s">
        <v>511</v>
      </c>
      <c r="E111" s="91" t="s">
        <v>376</v>
      </c>
      <c r="F111" s="19">
        <v>563594</v>
      </c>
      <c r="G111" s="55">
        <f t="shared" si="1"/>
        <v>81.08478798567764</v>
      </c>
      <c r="H111" s="19">
        <v>106605</v>
      </c>
      <c r="I111" s="19">
        <v>106605</v>
      </c>
      <c r="J111" s="79"/>
      <c r="L111" s="79"/>
    </row>
    <row r="112" spans="1:12" s="56" customFormat="1" ht="60.75">
      <c r="A112" s="83"/>
      <c r="B112" s="83">
        <v>150101</v>
      </c>
      <c r="C112" s="171" t="s">
        <v>114</v>
      </c>
      <c r="D112" s="22" t="s">
        <v>511</v>
      </c>
      <c r="E112" s="91" t="s">
        <v>377</v>
      </c>
      <c r="F112" s="19">
        <v>235000</v>
      </c>
      <c r="G112" s="55">
        <f t="shared" si="1"/>
        <v>0</v>
      </c>
      <c r="H112" s="19">
        <v>235000</v>
      </c>
      <c r="I112" s="19">
        <v>235000</v>
      </c>
      <c r="J112" s="79"/>
      <c r="L112" s="79"/>
    </row>
    <row r="113" spans="1:12" s="56" customFormat="1" ht="45.75">
      <c r="A113" s="83"/>
      <c r="B113" s="83">
        <v>150101</v>
      </c>
      <c r="C113" s="171" t="s">
        <v>114</v>
      </c>
      <c r="D113" s="22" t="s">
        <v>511</v>
      </c>
      <c r="E113" s="91" t="s">
        <v>378</v>
      </c>
      <c r="F113" s="19">
        <v>16873559</v>
      </c>
      <c r="G113" s="55">
        <f t="shared" si="1"/>
        <v>1.0488717881034972</v>
      </c>
      <c r="H113" s="19">
        <v>16696577</v>
      </c>
      <c r="I113" s="19">
        <v>2100000</v>
      </c>
      <c r="J113" s="79"/>
      <c r="L113" s="79"/>
    </row>
    <row r="114" spans="1:12" s="56" customFormat="1" ht="60.75">
      <c r="A114" s="83"/>
      <c r="B114" s="83">
        <v>150101</v>
      </c>
      <c r="C114" s="171" t="s">
        <v>114</v>
      </c>
      <c r="D114" s="22" t="s">
        <v>511</v>
      </c>
      <c r="E114" s="91" t="s">
        <v>379</v>
      </c>
      <c r="F114" s="86">
        <v>350000</v>
      </c>
      <c r="G114" s="55">
        <f t="shared" si="1"/>
        <v>0</v>
      </c>
      <c r="H114" s="19">
        <v>350000</v>
      </c>
      <c r="I114" s="19">
        <v>350000</v>
      </c>
      <c r="J114" s="79"/>
      <c r="L114" s="79"/>
    </row>
    <row r="115" spans="1:12" s="56" customFormat="1" ht="75.75">
      <c r="A115" s="83"/>
      <c r="B115" s="83">
        <v>150101</v>
      </c>
      <c r="C115" s="171" t="s">
        <v>114</v>
      </c>
      <c r="D115" s="22" t="s">
        <v>511</v>
      </c>
      <c r="E115" s="91" t="s">
        <v>380</v>
      </c>
      <c r="F115" s="19">
        <v>350000</v>
      </c>
      <c r="G115" s="55">
        <f t="shared" si="1"/>
        <v>0</v>
      </c>
      <c r="H115" s="19">
        <v>350000</v>
      </c>
      <c r="I115" s="19">
        <v>350000</v>
      </c>
      <c r="J115" s="79"/>
      <c r="L115" s="79"/>
    </row>
    <row r="116" spans="1:12" s="26" customFormat="1" ht="48" customHeight="1">
      <c r="A116" s="23"/>
      <c r="B116" s="23">
        <v>15</v>
      </c>
      <c r="C116" s="172"/>
      <c r="D116" s="24" t="s">
        <v>36</v>
      </c>
      <c r="E116" s="24"/>
      <c r="F116" s="25">
        <f>F117+F121+F123+F129+F119+F128+F126</f>
        <v>6274216</v>
      </c>
      <c r="G116" s="25"/>
      <c r="H116" s="25">
        <f>H117+H121+H123+H129+H119+H128+H126</f>
        <v>4240052</v>
      </c>
      <c r="I116" s="25">
        <f>I117+I121+I123+I129+I119+I128+I126</f>
        <v>6784671</v>
      </c>
      <c r="J116" s="75">
        <f>'[1]Місто'!$O$118-I116</f>
        <v>0</v>
      </c>
      <c r="K116" s="34">
        <f>I128+I129</f>
        <v>3809323</v>
      </c>
      <c r="L116" s="75">
        <f>'[1]Місто'!$O$187-K116</f>
        <v>0</v>
      </c>
    </row>
    <row r="117" spans="1:12" s="20" customFormat="1" ht="15.75">
      <c r="A117" s="14"/>
      <c r="B117" s="14" t="s">
        <v>508</v>
      </c>
      <c r="C117" s="166" t="s">
        <v>113</v>
      </c>
      <c r="D117" s="15" t="s">
        <v>509</v>
      </c>
      <c r="E117" s="15" t="s">
        <v>510</v>
      </c>
      <c r="F117" s="17"/>
      <c r="G117" s="18"/>
      <c r="H117" s="17"/>
      <c r="I117" s="40">
        <f>'[1]Місто'!$O$120</f>
        <v>1766140</v>
      </c>
      <c r="J117" s="78"/>
      <c r="L117" s="78"/>
    </row>
    <row r="118" spans="1:12" s="20" customFormat="1" ht="15.75" hidden="1">
      <c r="A118" s="14"/>
      <c r="B118" s="14"/>
      <c r="C118" s="58"/>
      <c r="D118" s="15"/>
      <c r="E118" s="22" t="s">
        <v>513</v>
      </c>
      <c r="F118" s="17"/>
      <c r="G118" s="18"/>
      <c r="H118" s="17"/>
      <c r="I118" s="19"/>
      <c r="J118" s="78"/>
      <c r="L118" s="78"/>
    </row>
    <row r="119" spans="1:12" s="20" customFormat="1" ht="153.75">
      <c r="A119" s="14"/>
      <c r="B119" s="14" t="s">
        <v>531</v>
      </c>
      <c r="C119" s="166" t="s">
        <v>126</v>
      </c>
      <c r="D119" s="165" t="s">
        <v>532</v>
      </c>
      <c r="E119" s="15" t="s">
        <v>510</v>
      </c>
      <c r="F119" s="17"/>
      <c r="G119" s="18"/>
      <c r="H119" s="17"/>
      <c r="I119" s="19">
        <f>'[1]Місто'!$O$129</f>
        <v>124400</v>
      </c>
      <c r="J119" s="78"/>
      <c r="L119" s="78"/>
    </row>
    <row r="120" spans="1:12" s="20" customFormat="1" ht="156.75">
      <c r="A120" s="14"/>
      <c r="B120" s="14"/>
      <c r="C120" s="58"/>
      <c r="D120" s="84" t="s">
        <v>0</v>
      </c>
      <c r="E120" s="15"/>
      <c r="F120" s="17"/>
      <c r="G120" s="18"/>
      <c r="H120" s="17"/>
      <c r="I120" s="19">
        <f>I119</f>
        <v>124400</v>
      </c>
      <c r="J120" s="78"/>
      <c r="L120" s="78"/>
    </row>
    <row r="121" spans="1:12" s="20" customFormat="1" ht="30.75" hidden="1">
      <c r="A121" s="37"/>
      <c r="B121" s="37" t="s">
        <v>521</v>
      </c>
      <c r="C121" s="37"/>
      <c r="D121" s="39" t="s">
        <v>522</v>
      </c>
      <c r="E121" s="15" t="s">
        <v>510</v>
      </c>
      <c r="F121" s="17"/>
      <c r="G121" s="18"/>
      <c r="H121" s="17"/>
      <c r="I121" s="19"/>
      <c r="J121" s="78"/>
      <c r="L121" s="78"/>
    </row>
    <row r="122" spans="1:12" s="20" customFormat="1" ht="15.75" hidden="1">
      <c r="A122" s="37"/>
      <c r="B122" s="37"/>
      <c r="C122" s="37"/>
      <c r="D122" s="39"/>
      <c r="E122" s="22" t="s">
        <v>513</v>
      </c>
      <c r="F122" s="17"/>
      <c r="G122" s="18"/>
      <c r="H122" s="17"/>
      <c r="I122" s="19"/>
      <c r="J122" s="78"/>
      <c r="L122" s="78"/>
    </row>
    <row r="123" spans="1:12" s="20" customFormat="1" ht="30.75">
      <c r="A123" s="58"/>
      <c r="B123" s="58" t="s">
        <v>219</v>
      </c>
      <c r="C123" s="166" t="s">
        <v>127</v>
      </c>
      <c r="D123" s="15" t="s">
        <v>220</v>
      </c>
      <c r="E123" s="15" t="s">
        <v>510</v>
      </c>
      <c r="F123" s="17"/>
      <c r="G123" s="18"/>
      <c r="H123" s="17"/>
      <c r="I123" s="19">
        <f>'[1]Місто'!$O$181</f>
        <v>1084808</v>
      </c>
      <c r="J123" s="78"/>
      <c r="L123" s="78"/>
    </row>
    <row r="124" spans="1:12" s="20" customFormat="1" ht="15.75" hidden="1">
      <c r="A124" s="14"/>
      <c r="B124" s="14"/>
      <c r="C124" s="58"/>
      <c r="D124" s="15"/>
      <c r="E124" s="22" t="s">
        <v>513</v>
      </c>
      <c r="F124" s="17"/>
      <c r="G124" s="18"/>
      <c r="H124" s="17"/>
      <c r="I124" s="19"/>
      <c r="J124" s="78"/>
      <c r="L124" s="78"/>
    </row>
    <row r="125" spans="1:12" s="20" customFormat="1" ht="60.75" hidden="1">
      <c r="A125" s="14"/>
      <c r="B125" s="14">
        <v>150101</v>
      </c>
      <c r="C125" s="58"/>
      <c r="D125" s="15" t="s">
        <v>511</v>
      </c>
      <c r="E125" s="15" t="s">
        <v>221</v>
      </c>
      <c r="F125" s="17"/>
      <c r="G125" s="18"/>
      <c r="H125" s="17"/>
      <c r="I125" s="19"/>
      <c r="J125" s="78"/>
      <c r="L125" s="78"/>
    </row>
    <row r="126" spans="1:12" s="20" customFormat="1" ht="30.75" hidden="1">
      <c r="A126" s="58"/>
      <c r="B126" s="58" t="s">
        <v>215</v>
      </c>
      <c r="C126" s="166" t="s">
        <v>126</v>
      </c>
      <c r="D126" s="15" t="s">
        <v>216</v>
      </c>
      <c r="E126" s="15" t="s">
        <v>510</v>
      </c>
      <c r="F126" s="17"/>
      <c r="G126" s="18"/>
      <c r="H126" s="17"/>
      <c r="I126" s="19">
        <f>'[1]Місто'!$O$183</f>
        <v>0</v>
      </c>
      <c r="J126" s="78"/>
      <c r="L126" s="78"/>
    </row>
    <row r="127" spans="1:12" s="20" customFormat="1" ht="15.75" hidden="1">
      <c r="A127" s="14"/>
      <c r="B127" s="14"/>
      <c r="C127" s="58"/>
      <c r="D127" s="15"/>
      <c r="E127" s="22" t="s">
        <v>513</v>
      </c>
      <c r="F127" s="17"/>
      <c r="G127" s="18"/>
      <c r="H127" s="17"/>
      <c r="I127" s="19"/>
      <c r="J127" s="78"/>
      <c r="L127" s="78"/>
    </row>
    <row r="128" spans="1:12" s="20" customFormat="1" ht="45.75">
      <c r="A128" s="14"/>
      <c r="B128" s="14">
        <v>150101</v>
      </c>
      <c r="C128" s="166" t="s">
        <v>114</v>
      </c>
      <c r="D128" s="15" t="s">
        <v>511</v>
      </c>
      <c r="E128" s="15" t="s">
        <v>381</v>
      </c>
      <c r="F128" s="17">
        <v>300000</v>
      </c>
      <c r="G128" s="18">
        <f>100-(H128/F128*100)</f>
        <v>0</v>
      </c>
      <c r="H128" s="17">
        <v>300000</v>
      </c>
      <c r="I128" s="17">
        <v>300000</v>
      </c>
      <c r="J128" s="78"/>
      <c r="L128" s="78"/>
    </row>
    <row r="129" spans="1:12" s="20" customFormat="1" ht="30.75">
      <c r="A129" s="14"/>
      <c r="B129" s="14">
        <v>150101</v>
      </c>
      <c r="C129" s="166" t="s">
        <v>114</v>
      </c>
      <c r="D129" s="15" t="s">
        <v>511</v>
      </c>
      <c r="E129" s="15" t="s">
        <v>222</v>
      </c>
      <c r="F129" s="17">
        <v>5974216</v>
      </c>
      <c r="G129" s="18">
        <f>100-(H129/F129*100)</f>
        <v>34.049053465760196</v>
      </c>
      <c r="H129" s="19">
        <v>3940052</v>
      </c>
      <c r="I129" s="19">
        <f>3940052-430729</f>
        <v>3509323</v>
      </c>
      <c r="J129" s="78"/>
      <c r="L129" s="78"/>
    </row>
    <row r="130" spans="1:12" s="20" customFormat="1" ht="15.75" hidden="1">
      <c r="A130" s="14"/>
      <c r="B130" s="14"/>
      <c r="C130" s="58"/>
      <c r="D130" s="15"/>
      <c r="E130" s="22" t="s">
        <v>513</v>
      </c>
      <c r="F130" s="17"/>
      <c r="G130" s="18"/>
      <c r="H130" s="17"/>
      <c r="I130" s="19"/>
      <c r="J130" s="78"/>
      <c r="L130" s="78"/>
    </row>
    <row r="131" spans="1:12" s="26" customFormat="1" ht="31.5">
      <c r="A131" s="23"/>
      <c r="B131" s="23">
        <v>20</v>
      </c>
      <c r="C131" s="172"/>
      <c r="D131" s="24" t="s">
        <v>179</v>
      </c>
      <c r="E131" s="24"/>
      <c r="F131" s="25"/>
      <c r="G131" s="27"/>
      <c r="H131" s="25"/>
      <c r="I131" s="25">
        <f>I132</f>
        <v>108000</v>
      </c>
      <c r="J131" s="75"/>
      <c r="L131" s="77"/>
    </row>
    <row r="132" spans="1:12" s="20" customFormat="1" ht="15.75">
      <c r="A132" s="14"/>
      <c r="B132" s="14" t="s">
        <v>508</v>
      </c>
      <c r="C132" s="58"/>
      <c r="D132" s="15" t="s">
        <v>509</v>
      </c>
      <c r="E132" s="15" t="s">
        <v>510</v>
      </c>
      <c r="F132" s="17"/>
      <c r="G132" s="18"/>
      <c r="H132" s="17"/>
      <c r="I132" s="19">
        <f>'[1]Місто'!$O$212</f>
        <v>108000</v>
      </c>
      <c r="J132" s="78"/>
      <c r="L132" s="78"/>
    </row>
    <row r="133" spans="1:12" s="26" customFormat="1" ht="31.5">
      <c r="A133" s="23"/>
      <c r="B133" s="23">
        <v>24</v>
      </c>
      <c r="C133" s="172"/>
      <c r="D133" s="24" t="s">
        <v>224</v>
      </c>
      <c r="E133" s="24"/>
      <c r="F133" s="25">
        <f>SUM(F134:F145)-F135-F137-F139-F141-F143</f>
        <v>364421</v>
      </c>
      <c r="G133" s="27"/>
      <c r="H133" s="25">
        <f>SUM(H134:H145)-H135-H137-H139-H141-H143</f>
        <v>172519</v>
      </c>
      <c r="I133" s="25">
        <f>SUM(I134:I145)-I135-I137-I139-I141-I143</f>
        <v>3943491</v>
      </c>
      <c r="J133" s="75">
        <f>'[1]Місто'!$O$218-I133</f>
        <v>0</v>
      </c>
      <c r="K133" s="34"/>
      <c r="L133" s="75"/>
    </row>
    <row r="134" spans="1:12" s="20" customFormat="1" ht="15.75">
      <c r="A134" s="14"/>
      <c r="B134" s="14" t="s">
        <v>225</v>
      </c>
      <c r="C134" s="166" t="s">
        <v>128</v>
      </c>
      <c r="D134" s="15" t="s">
        <v>226</v>
      </c>
      <c r="E134" s="15" t="s">
        <v>510</v>
      </c>
      <c r="F134" s="17"/>
      <c r="G134" s="18"/>
      <c r="H134" s="17"/>
      <c r="I134" s="19">
        <f>'[1]Місто'!$O$222</f>
        <v>75227</v>
      </c>
      <c r="J134" s="78"/>
      <c r="L134" s="78"/>
    </row>
    <row r="135" spans="1:12" s="20" customFormat="1" ht="15.75" hidden="1">
      <c r="A135" s="14"/>
      <c r="B135" s="14"/>
      <c r="C135" s="58"/>
      <c r="D135" s="15"/>
      <c r="E135" s="22" t="s">
        <v>513</v>
      </c>
      <c r="F135" s="17"/>
      <c r="G135" s="18"/>
      <c r="H135" s="17"/>
      <c r="I135" s="19"/>
      <c r="J135" s="78"/>
      <c r="L135" s="78"/>
    </row>
    <row r="136" spans="1:12" s="20" customFormat="1" ht="15.75">
      <c r="A136" s="14"/>
      <c r="B136" s="14" t="s">
        <v>227</v>
      </c>
      <c r="C136" s="166" t="s">
        <v>129</v>
      </c>
      <c r="D136" s="15" t="s">
        <v>228</v>
      </c>
      <c r="E136" s="15" t="s">
        <v>301</v>
      </c>
      <c r="F136" s="17"/>
      <c r="G136" s="18"/>
      <c r="H136" s="17"/>
      <c r="I136" s="19">
        <f>'[1]Місто'!$O$223</f>
        <v>832843</v>
      </c>
      <c r="J136" s="78"/>
      <c r="L136" s="78"/>
    </row>
    <row r="137" spans="1:12" s="20" customFormat="1" ht="15.75" hidden="1">
      <c r="A137" s="14"/>
      <c r="B137" s="14"/>
      <c r="C137" s="58"/>
      <c r="D137" s="15"/>
      <c r="E137" s="22" t="s">
        <v>513</v>
      </c>
      <c r="F137" s="17"/>
      <c r="G137" s="18"/>
      <c r="H137" s="17"/>
      <c r="I137" s="19"/>
      <c r="J137" s="78"/>
      <c r="L137" s="78"/>
    </row>
    <row r="138" spans="1:12" s="20" customFormat="1" ht="30.75">
      <c r="A138" s="14"/>
      <c r="B138" s="14" t="s">
        <v>229</v>
      </c>
      <c r="C138" s="166" t="s">
        <v>130</v>
      </c>
      <c r="D138" s="15" t="s">
        <v>230</v>
      </c>
      <c r="E138" s="15" t="s">
        <v>301</v>
      </c>
      <c r="F138" s="17"/>
      <c r="G138" s="18"/>
      <c r="H138" s="17"/>
      <c r="I138" s="19">
        <f>'[1]Місто'!$O$224</f>
        <v>2401277</v>
      </c>
      <c r="J138" s="78"/>
      <c r="L138" s="78"/>
    </row>
    <row r="139" spans="1:12" s="20" customFormat="1" ht="15.75" hidden="1">
      <c r="A139" s="14"/>
      <c r="B139" s="14"/>
      <c r="C139" s="58"/>
      <c r="D139" s="15"/>
      <c r="E139" s="22" t="s">
        <v>513</v>
      </c>
      <c r="F139" s="17"/>
      <c r="G139" s="18"/>
      <c r="H139" s="17"/>
      <c r="I139" s="19"/>
      <c r="J139" s="78"/>
      <c r="L139" s="78"/>
    </row>
    <row r="140" spans="1:12" s="20" customFormat="1" ht="15.75">
      <c r="A140" s="14"/>
      <c r="B140" s="14" t="s">
        <v>231</v>
      </c>
      <c r="C140" s="166" t="s">
        <v>117</v>
      </c>
      <c r="D140" s="15" t="s">
        <v>232</v>
      </c>
      <c r="E140" s="15" t="s">
        <v>510</v>
      </c>
      <c r="F140" s="17"/>
      <c r="G140" s="18"/>
      <c r="H140" s="17"/>
      <c r="I140" s="19">
        <f>'[1]Місто'!$O$225</f>
        <v>410625</v>
      </c>
      <c r="J140" s="78"/>
      <c r="L140" s="78"/>
    </row>
    <row r="141" spans="1:12" s="20" customFormat="1" ht="15.75" hidden="1">
      <c r="A141" s="14"/>
      <c r="B141" s="14"/>
      <c r="C141" s="58"/>
      <c r="D141" s="15"/>
      <c r="E141" s="22" t="s">
        <v>513</v>
      </c>
      <c r="F141" s="17"/>
      <c r="G141" s="18"/>
      <c r="H141" s="17"/>
      <c r="I141" s="19"/>
      <c r="J141" s="78"/>
      <c r="L141" s="78"/>
    </row>
    <row r="142" spans="1:12" s="20" customFormat="1" ht="15.75">
      <c r="A142" s="14"/>
      <c r="B142" s="14" t="s">
        <v>233</v>
      </c>
      <c r="C142" s="166" t="s">
        <v>131</v>
      </c>
      <c r="D142" s="15" t="s">
        <v>234</v>
      </c>
      <c r="E142" s="15" t="s">
        <v>510</v>
      </c>
      <c r="F142" s="17"/>
      <c r="G142" s="18"/>
      <c r="H142" s="17"/>
      <c r="I142" s="19">
        <f>'[1]Місто'!$O$229</f>
        <v>51000</v>
      </c>
      <c r="J142" s="78"/>
      <c r="L142" s="78"/>
    </row>
    <row r="143" spans="1:12" s="20" customFormat="1" ht="15.75" hidden="1">
      <c r="A143" s="14"/>
      <c r="B143" s="14"/>
      <c r="C143" s="58"/>
      <c r="D143" s="15"/>
      <c r="E143" s="22" t="s">
        <v>513</v>
      </c>
      <c r="F143" s="17"/>
      <c r="G143" s="18"/>
      <c r="H143" s="17"/>
      <c r="I143" s="19"/>
      <c r="J143" s="78"/>
      <c r="L143" s="78"/>
    </row>
    <row r="144" spans="1:12" s="20" customFormat="1" ht="60.75">
      <c r="A144" s="14"/>
      <c r="B144" s="14">
        <v>150101</v>
      </c>
      <c r="C144" s="166" t="s">
        <v>114</v>
      </c>
      <c r="D144" s="15" t="s">
        <v>511</v>
      </c>
      <c r="E144" s="92" t="s">
        <v>50</v>
      </c>
      <c r="F144" s="17">
        <v>157847</v>
      </c>
      <c r="G144" s="18">
        <f>100-(H144/F144*100)</f>
        <v>0</v>
      </c>
      <c r="H144" s="17">
        <v>157847</v>
      </c>
      <c r="I144" s="17">
        <v>157847</v>
      </c>
      <c r="J144" s="78"/>
      <c r="L144" s="78"/>
    </row>
    <row r="145" spans="1:12" s="20" customFormat="1" ht="30.75">
      <c r="A145" s="14"/>
      <c r="B145" s="14">
        <v>150101</v>
      </c>
      <c r="C145" s="166" t="s">
        <v>114</v>
      </c>
      <c r="D145" s="15" t="s">
        <v>511</v>
      </c>
      <c r="E145" s="91" t="s">
        <v>182</v>
      </c>
      <c r="F145" s="17">
        <v>206574</v>
      </c>
      <c r="G145" s="18">
        <f>100-(H145/F145*100)</f>
        <v>92.89746047421264</v>
      </c>
      <c r="H145" s="17">
        <v>14672</v>
      </c>
      <c r="I145" s="19">
        <v>14672</v>
      </c>
      <c r="J145" s="78"/>
      <c r="L145" s="78"/>
    </row>
    <row r="146" spans="1:12" s="20" customFormat="1" ht="31.5" hidden="1">
      <c r="A146" s="23"/>
      <c r="B146" s="23">
        <v>26</v>
      </c>
      <c r="C146" s="172"/>
      <c r="D146" s="24" t="s">
        <v>316</v>
      </c>
      <c r="E146" s="24"/>
      <c r="F146" s="25">
        <f>SUM(F147)</f>
        <v>0</v>
      </c>
      <c r="G146" s="25"/>
      <c r="H146" s="25">
        <f>SUM(H147)</f>
        <v>0</v>
      </c>
      <c r="I146" s="25">
        <f>SUM(I147)</f>
        <v>0</v>
      </c>
      <c r="J146" s="78"/>
      <c r="L146" s="78"/>
    </row>
    <row r="147" spans="1:12" s="20" customFormat="1" ht="15.75" hidden="1">
      <c r="A147" s="14"/>
      <c r="B147" s="14" t="s">
        <v>508</v>
      </c>
      <c r="C147" s="58"/>
      <c r="D147" s="15" t="s">
        <v>509</v>
      </c>
      <c r="E147" s="15" t="s">
        <v>510</v>
      </c>
      <c r="F147" s="17"/>
      <c r="G147" s="18"/>
      <c r="H147" s="17"/>
      <c r="I147" s="19"/>
      <c r="J147" s="78"/>
      <c r="L147" s="78"/>
    </row>
    <row r="148" spans="1:12" s="26" customFormat="1" ht="42" customHeight="1">
      <c r="A148" s="23"/>
      <c r="B148" s="23" t="s">
        <v>235</v>
      </c>
      <c r="C148" s="172"/>
      <c r="D148" s="24" t="s">
        <v>236</v>
      </c>
      <c r="E148" s="24"/>
      <c r="F148" s="25">
        <f>SUM(F149:F157)</f>
        <v>2027507</v>
      </c>
      <c r="G148" s="25"/>
      <c r="H148" s="25">
        <f>SUM(H149:H157)</f>
        <v>1622417</v>
      </c>
      <c r="I148" s="25">
        <f>SUM(I149:I157)</f>
        <v>1261552</v>
      </c>
      <c r="J148" s="75">
        <f>'[1]Місто'!$O$240-I148</f>
        <v>0</v>
      </c>
      <c r="K148" s="34"/>
      <c r="L148" s="75"/>
    </row>
    <row r="149" spans="1:12" s="20" customFormat="1" ht="15.75" hidden="1">
      <c r="A149" s="14"/>
      <c r="B149" s="14" t="s">
        <v>508</v>
      </c>
      <c r="C149" s="58"/>
      <c r="D149" s="15" t="s">
        <v>509</v>
      </c>
      <c r="E149" s="15" t="s">
        <v>510</v>
      </c>
      <c r="F149" s="17"/>
      <c r="G149" s="18"/>
      <c r="H149" s="17"/>
      <c r="I149" s="19">
        <f>'[1]Місто'!$O$242</f>
        <v>0</v>
      </c>
      <c r="J149" s="78"/>
      <c r="L149" s="78"/>
    </row>
    <row r="150" spans="1:12" s="20" customFormat="1" ht="45.75">
      <c r="A150" s="14"/>
      <c r="B150" s="14">
        <v>150101</v>
      </c>
      <c r="C150" s="166" t="s">
        <v>114</v>
      </c>
      <c r="D150" s="15" t="s">
        <v>511</v>
      </c>
      <c r="E150" s="15" t="s">
        <v>275</v>
      </c>
      <c r="F150" s="17">
        <v>1071200</v>
      </c>
      <c r="G150" s="18">
        <f>100-(H150/F150*100)</f>
        <v>37.816467513069455</v>
      </c>
      <c r="H150" s="17">
        <v>666110</v>
      </c>
      <c r="I150" s="19">
        <v>305245</v>
      </c>
      <c r="J150" s="78"/>
      <c r="L150" s="78"/>
    </row>
    <row r="151" spans="1:12" s="20" customFormat="1" ht="15.75" hidden="1">
      <c r="A151" s="14"/>
      <c r="B151" s="14"/>
      <c r="C151" s="58"/>
      <c r="D151" s="15"/>
      <c r="E151" s="22" t="s">
        <v>513</v>
      </c>
      <c r="F151" s="17"/>
      <c r="G151" s="18"/>
      <c r="H151" s="17"/>
      <c r="I151" s="19"/>
      <c r="J151" s="78"/>
      <c r="L151" s="78"/>
    </row>
    <row r="152" spans="1:12" s="26" customFormat="1" ht="38.25" customHeight="1" hidden="1">
      <c r="A152" s="23"/>
      <c r="B152" s="23" t="s">
        <v>237</v>
      </c>
      <c r="C152" s="172"/>
      <c r="D152" s="24" t="s">
        <v>238</v>
      </c>
      <c r="E152" s="24"/>
      <c r="F152" s="25"/>
      <c r="G152" s="27"/>
      <c r="H152" s="25"/>
      <c r="I152" s="25">
        <f>I153</f>
        <v>0</v>
      </c>
      <c r="J152" s="77"/>
      <c r="L152" s="77"/>
    </row>
    <row r="153" spans="1:12" s="20" customFormat="1" ht="35.25" customHeight="1" hidden="1">
      <c r="A153" s="14"/>
      <c r="B153" s="14" t="s">
        <v>508</v>
      </c>
      <c r="C153" s="58"/>
      <c r="D153" s="15" t="s">
        <v>509</v>
      </c>
      <c r="E153" s="15" t="s">
        <v>297</v>
      </c>
      <c r="F153" s="17"/>
      <c r="G153" s="18"/>
      <c r="H153" s="17"/>
      <c r="I153" s="19"/>
      <c r="J153" s="78"/>
      <c r="L153" s="78"/>
    </row>
    <row r="154" spans="1:12" s="20" customFormat="1" ht="45.75">
      <c r="A154" s="14"/>
      <c r="B154" s="14">
        <v>150101</v>
      </c>
      <c r="C154" s="166" t="s">
        <v>114</v>
      </c>
      <c r="D154" s="15" t="s">
        <v>511</v>
      </c>
      <c r="E154" s="92" t="s">
        <v>162</v>
      </c>
      <c r="F154" s="17">
        <v>218904</v>
      </c>
      <c r="G154" s="18"/>
      <c r="H154" s="17">
        <v>218904</v>
      </c>
      <c r="I154" s="19">
        <v>218904</v>
      </c>
      <c r="J154" s="78"/>
      <c r="L154" s="78"/>
    </row>
    <row r="155" spans="1:12" s="20" customFormat="1" ht="45.75">
      <c r="A155" s="14"/>
      <c r="B155" s="14">
        <v>150101</v>
      </c>
      <c r="C155" s="166" t="s">
        <v>114</v>
      </c>
      <c r="D155" s="15" t="s">
        <v>511</v>
      </c>
      <c r="E155" s="92" t="s">
        <v>163</v>
      </c>
      <c r="F155" s="19">
        <v>356714</v>
      </c>
      <c r="G155" s="19"/>
      <c r="H155" s="19">
        <v>356714</v>
      </c>
      <c r="I155" s="19">
        <v>356714</v>
      </c>
      <c r="J155" s="78"/>
      <c r="L155" s="78"/>
    </row>
    <row r="156" spans="1:12" s="20" customFormat="1" ht="45.75">
      <c r="A156" s="14"/>
      <c r="B156" s="14">
        <v>150101</v>
      </c>
      <c r="C156" s="166" t="s">
        <v>114</v>
      </c>
      <c r="D156" s="15" t="s">
        <v>511</v>
      </c>
      <c r="E156" s="92" t="s">
        <v>164</v>
      </c>
      <c r="F156" s="19">
        <v>197721</v>
      </c>
      <c r="G156" s="19"/>
      <c r="H156" s="19">
        <v>197721</v>
      </c>
      <c r="I156" s="19">
        <v>197721</v>
      </c>
      <c r="J156" s="78"/>
      <c r="L156" s="78"/>
    </row>
    <row r="157" spans="1:12" s="20" customFormat="1" ht="45.75">
      <c r="A157" s="14"/>
      <c r="B157" s="14">
        <v>150101</v>
      </c>
      <c r="C157" s="166" t="s">
        <v>114</v>
      </c>
      <c r="D157" s="15" t="s">
        <v>511</v>
      </c>
      <c r="E157" s="92" t="s">
        <v>165</v>
      </c>
      <c r="F157" s="19">
        <v>182968</v>
      </c>
      <c r="G157" s="19"/>
      <c r="H157" s="19">
        <v>182968</v>
      </c>
      <c r="I157" s="19">
        <v>182968</v>
      </c>
      <c r="J157" s="78"/>
      <c r="L157" s="78"/>
    </row>
    <row r="158" spans="1:13" s="26" customFormat="1" ht="39" customHeight="1">
      <c r="A158" s="23"/>
      <c r="B158" s="23">
        <v>40</v>
      </c>
      <c r="C158" s="172"/>
      <c r="D158" s="24" t="s">
        <v>239</v>
      </c>
      <c r="E158" s="24"/>
      <c r="F158" s="25">
        <f>SUM(F160:F318)+F336+F341+F359+F360+F374+F375+F342+F343+F344+F345+F347+F348+F349+F350+F351+F352+F353+F354+F355+F356+F357+F358</f>
        <v>198403024</v>
      </c>
      <c r="G158" s="25"/>
      <c r="H158" s="25">
        <f>SUM(H160:H318)+H336+H341+H359+H360+H374+H375+H342+H343+H344+H345+H347+H348+H349+H350+H351+H352+H353+H354+H355+H356+H357+H358</f>
        <v>157919204</v>
      </c>
      <c r="I158" s="25">
        <f>SUM(I160:I318)+I336+I341+I342+I343+I344+I345+I347+I348+I349+I350+I351+I352+I353+I354+I355+I356+I357+I358+I359+I360+I374+I375</f>
        <v>401809808</v>
      </c>
      <c r="J158" s="75">
        <f>'[1]Місто'!$O$253-I158</f>
        <v>0</v>
      </c>
      <c r="K158" s="34">
        <f>SUM(I173:I318)+I336</f>
        <v>70368385</v>
      </c>
      <c r="L158" s="75">
        <f>'[1]Місто'!$O$276-K158</f>
        <v>0</v>
      </c>
      <c r="M158" s="176">
        <f>'[1]Місто'!$O$280-(I342+I343+I344+I345+I347+I348+I349+I350+I351+I352+I353+I354+I355+I356+I357+I358+I359)</f>
        <v>0</v>
      </c>
    </row>
    <row r="159" spans="1:12" s="26" customFormat="1" ht="15.75" hidden="1">
      <c r="A159" s="14"/>
      <c r="B159" s="14" t="s">
        <v>508</v>
      </c>
      <c r="C159" s="58"/>
      <c r="D159" s="22" t="s">
        <v>509</v>
      </c>
      <c r="E159" s="15" t="s">
        <v>510</v>
      </c>
      <c r="F159" s="19"/>
      <c r="G159" s="19"/>
      <c r="H159" s="19"/>
      <c r="I159" s="19"/>
      <c r="J159" s="77"/>
      <c r="L159" s="77"/>
    </row>
    <row r="160" spans="1:12" s="20" customFormat="1" ht="30.75">
      <c r="A160" s="14"/>
      <c r="B160" s="14" t="s">
        <v>240</v>
      </c>
      <c r="C160" s="166" t="s">
        <v>132</v>
      </c>
      <c r="D160" s="15" t="s">
        <v>241</v>
      </c>
      <c r="E160" s="15" t="s">
        <v>510</v>
      </c>
      <c r="F160" s="17"/>
      <c r="G160" s="18"/>
      <c r="H160" s="17"/>
      <c r="I160" s="19">
        <f>'[1]Місто'!$O$268</f>
        <v>224991173</v>
      </c>
      <c r="J160" s="78"/>
      <c r="L160" s="78"/>
    </row>
    <row r="161" spans="1:12" s="20" customFormat="1" ht="15.75" hidden="1">
      <c r="A161" s="14"/>
      <c r="B161" s="14"/>
      <c r="C161" s="58"/>
      <c r="D161" s="15"/>
      <c r="E161" s="22" t="s">
        <v>513</v>
      </c>
      <c r="F161" s="17"/>
      <c r="G161" s="18"/>
      <c r="H161" s="17"/>
      <c r="I161" s="19"/>
      <c r="J161" s="78"/>
      <c r="L161" s="78"/>
    </row>
    <row r="162" spans="1:12" s="20" customFormat="1" ht="30.75">
      <c r="A162" s="14"/>
      <c r="B162" s="14" t="s">
        <v>217</v>
      </c>
      <c r="C162" s="166" t="s">
        <v>132</v>
      </c>
      <c r="D162" s="15" t="s">
        <v>218</v>
      </c>
      <c r="E162" s="15" t="s">
        <v>510</v>
      </c>
      <c r="F162" s="17"/>
      <c r="G162" s="18"/>
      <c r="H162" s="17"/>
      <c r="I162" s="19">
        <f>'[1]Місто'!$O$270</f>
        <v>2005589</v>
      </c>
      <c r="J162" s="78"/>
      <c r="L162" s="78"/>
    </row>
    <row r="163" spans="1:12" s="20" customFormat="1" ht="15.75" hidden="1">
      <c r="A163" s="14"/>
      <c r="B163" s="14"/>
      <c r="C163" s="58"/>
      <c r="D163" s="15"/>
      <c r="E163" s="15" t="s">
        <v>513</v>
      </c>
      <c r="F163" s="17"/>
      <c r="G163" s="18"/>
      <c r="H163" s="17"/>
      <c r="I163" s="19"/>
      <c r="J163" s="78"/>
      <c r="L163" s="78"/>
    </row>
    <row r="164" spans="1:12" s="20" customFormat="1" ht="18.75" customHeight="1">
      <c r="A164" s="14"/>
      <c r="B164" s="14">
        <v>100203</v>
      </c>
      <c r="C164" s="166" t="s">
        <v>133</v>
      </c>
      <c r="D164" s="15" t="s">
        <v>242</v>
      </c>
      <c r="E164" s="15" t="s">
        <v>510</v>
      </c>
      <c r="F164" s="17"/>
      <c r="G164" s="18"/>
      <c r="H164" s="17"/>
      <c r="I164" s="19">
        <f>'[1]Місто'!$O$273</f>
        <v>2083465</v>
      </c>
      <c r="J164" s="78"/>
      <c r="L164" s="78"/>
    </row>
    <row r="165" spans="1:12" s="20" customFormat="1" ht="15.75" hidden="1">
      <c r="A165" s="14"/>
      <c r="B165" s="14"/>
      <c r="C165" s="58"/>
      <c r="D165" s="15"/>
      <c r="E165" s="15" t="s">
        <v>513</v>
      </c>
      <c r="F165" s="17"/>
      <c r="G165" s="18"/>
      <c r="H165" s="17"/>
      <c r="I165" s="19"/>
      <c r="J165" s="78"/>
      <c r="L165" s="78"/>
    </row>
    <row r="166" spans="1:12" s="20" customFormat="1" ht="15.75" hidden="1">
      <c r="A166" s="14"/>
      <c r="B166" s="14">
        <v>100209</v>
      </c>
      <c r="C166" s="58"/>
      <c r="D166" s="15" t="s">
        <v>3</v>
      </c>
      <c r="E166" s="15" t="s">
        <v>510</v>
      </c>
      <c r="F166" s="17"/>
      <c r="G166" s="18"/>
      <c r="H166" s="17"/>
      <c r="I166" s="19"/>
      <c r="J166" s="78"/>
      <c r="L166" s="78"/>
    </row>
    <row r="167" spans="1:12" s="20" customFormat="1" ht="15.75" hidden="1">
      <c r="A167" s="14"/>
      <c r="B167" s="14"/>
      <c r="C167" s="58"/>
      <c r="D167" s="15"/>
      <c r="E167" s="15" t="s">
        <v>513</v>
      </c>
      <c r="F167" s="17"/>
      <c r="G167" s="18"/>
      <c r="H167" s="17"/>
      <c r="I167" s="19"/>
      <c r="J167" s="78"/>
      <c r="L167" s="78"/>
    </row>
    <row r="168" spans="1:12" s="20" customFormat="1" ht="15.75" hidden="1">
      <c r="A168" s="14"/>
      <c r="B168" s="14"/>
      <c r="C168" s="58"/>
      <c r="D168" s="15"/>
      <c r="E168" s="15"/>
      <c r="F168" s="17"/>
      <c r="G168" s="18"/>
      <c r="H168" s="17"/>
      <c r="I168" s="19"/>
      <c r="J168" s="78"/>
      <c r="L168" s="78"/>
    </row>
    <row r="169" spans="1:12" s="56" customFormat="1" ht="30.75" hidden="1">
      <c r="A169" s="54"/>
      <c r="B169" s="54">
        <v>150101</v>
      </c>
      <c r="C169" s="168"/>
      <c r="D169" s="22" t="s">
        <v>511</v>
      </c>
      <c r="E169" s="15" t="s">
        <v>246</v>
      </c>
      <c r="F169" s="19"/>
      <c r="G169" s="18"/>
      <c r="H169" s="19"/>
      <c r="I169" s="19"/>
      <c r="J169" s="80"/>
      <c r="L169" s="79"/>
    </row>
    <row r="170" spans="1:12" s="56" customFormat="1" ht="18" customHeight="1" hidden="1">
      <c r="A170" s="54"/>
      <c r="B170" s="54"/>
      <c r="C170" s="168"/>
      <c r="D170" s="22"/>
      <c r="E170" s="15" t="s">
        <v>513</v>
      </c>
      <c r="F170" s="19"/>
      <c r="G170" s="18"/>
      <c r="H170" s="19"/>
      <c r="I170" s="19"/>
      <c r="J170" s="79"/>
      <c r="L170" s="79"/>
    </row>
    <row r="171" spans="1:12" s="56" customFormat="1" ht="60.75" hidden="1">
      <c r="A171" s="14"/>
      <c r="B171" s="14">
        <v>150101</v>
      </c>
      <c r="C171" s="58"/>
      <c r="D171" s="15" t="s">
        <v>511</v>
      </c>
      <c r="E171" s="15" t="s">
        <v>302</v>
      </c>
      <c r="F171" s="19"/>
      <c r="G171" s="18"/>
      <c r="H171" s="19"/>
      <c r="I171" s="19"/>
      <c r="J171" s="79"/>
      <c r="L171" s="79"/>
    </row>
    <row r="172" spans="1:12" s="56" customFormat="1" ht="15.75" hidden="1">
      <c r="A172" s="14"/>
      <c r="B172" s="14"/>
      <c r="C172" s="58"/>
      <c r="D172" s="15"/>
      <c r="E172" s="15" t="s">
        <v>513</v>
      </c>
      <c r="F172" s="19"/>
      <c r="G172" s="55"/>
      <c r="H172" s="19"/>
      <c r="I172" s="19"/>
      <c r="J172" s="79"/>
      <c r="L172" s="79"/>
    </row>
    <row r="173" spans="1:12" s="56" customFormat="1" ht="30.75">
      <c r="A173" s="14"/>
      <c r="B173" s="14">
        <v>150101</v>
      </c>
      <c r="C173" s="166" t="s">
        <v>114</v>
      </c>
      <c r="D173" s="15" t="s">
        <v>511</v>
      </c>
      <c r="E173" s="15" t="s">
        <v>404</v>
      </c>
      <c r="F173" s="86">
        <v>1471483</v>
      </c>
      <c r="G173" s="87">
        <f aca="true" t="shared" si="2" ref="G173:G179">100-(H173/F173*100)</f>
        <v>5.762349955792899</v>
      </c>
      <c r="H173" s="86">
        <v>1386691</v>
      </c>
      <c r="I173" s="86">
        <v>1386691</v>
      </c>
      <c r="J173" s="79"/>
      <c r="L173" s="79"/>
    </row>
    <row r="174" spans="1:12" s="56" customFormat="1" ht="15.75" hidden="1">
      <c r="A174" s="14"/>
      <c r="B174" s="14">
        <v>150101</v>
      </c>
      <c r="C174" s="58"/>
      <c r="D174" s="15" t="s">
        <v>511</v>
      </c>
      <c r="E174" s="15" t="s">
        <v>513</v>
      </c>
      <c r="F174" s="19"/>
      <c r="G174" s="87" t="e">
        <f t="shared" si="2"/>
        <v>#DIV/0!</v>
      </c>
      <c r="H174" s="19"/>
      <c r="I174" s="86"/>
      <c r="J174" s="79"/>
      <c r="L174" s="79"/>
    </row>
    <row r="175" spans="1:12" s="56" customFormat="1" ht="33" customHeight="1">
      <c r="A175" s="14"/>
      <c r="B175" s="14">
        <v>150101</v>
      </c>
      <c r="C175" s="166" t="s">
        <v>114</v>
      </c>
      <c r="D175" s="15" t="s">
        <v>511</v>
      </c>
      <c r="E175" s="15" t="s">
        <v>248</v>
      </c>
      <c r="F175" s="19">
        <v>2321421</v>
      </c>
      <c r="G175" s="87">
        <f t="shared" si="2"/>
        <v>65.1696956303919</v>
      </c>
      <c r="H175" s="19">
        <v>808558</v>
      </c>
      <c r="I175" s="86">
        <v>315609</v>
      </c>
      <c r="J175" s="79"/>
      <c r="L175" s="79"/>
    </row>
    <row r="176" spans="1:12" s="56" customFormat="1" ht="30.75">
      <c r="A176" s="14"/>
      <c r="B176" s="14">
        <v>150101</v>
      </c>
      <c r="C176" s="166" t="s">
        <v>114</v>
      </c>
      <c r="D176" s="15" t="s">
        <v>511</v>
      </c>
      <c r="E176" s="92" t="s">
        <v>110</v>
      </c>
      <c r="F176" s="86">
        <v>2669024</v>
      </c>
      <c r="G176" s="87">
        <f t="shared" si="2"/>
        <v>3.6757631253971397</v>
      </c>
      <c r="H176" s="19">
        <f>2605395-34478</f>
        <v>2570917</v>
      </c>
      <c r="I176" s="19">
        <f>2605395-34478</f>
        <v>2570917</v>
      </c>
      <c r="J176" s="79"/>
      <c r="K176" s="192"/>
      <c r="L176" s="79"/>
    </row>
    <row r="177" spans="1:12" s="56" customFormat="1" ht="30.75">
      <c r="A177" s="14"/>
      <c r="B177" s="14">
        <v>150101</v>
      </c>
      <c r="C177" s="166" t="s">
        <v>114</v>
      </c>
      <c r="D177" s="15" t="s">
        <v>511</v>
      </c>
      <c r="E177" s="92" t="s">
        <v>75</v>
      </c>
      <c r="F177" s="19">
        <v>111742</v>
      </c>
      <c r="G177" s="87">
        <f t="shared" si="2"/>
        <v>25.755758801524948</v>
      </c>
      <c r="H177" s="19">
        <v>82962</v>
      </c>
      <c r="I177" s="86">
        <f>1000000-917038</f>
        <v>82962</v>
      </c>
      <c r="J177" s="79"/>
      <c r="L177" s="79"/>
    </row>
    <row r="178" spans="1:12" s="56" customFormat="1" ht="30.75">
      <c r="A178" s="14"/>
      <c r="B178" s="14">
        <v>150101</v>
      </c>
      <c r="C178" s="166" t="s">
        <v>114</v>
      </c>
      <c r="D178" s="15" t="s">
        <v>511</v>
      </c>
      <c r="E178" s="92" t="s">
        <v>76</v>
      </c>
      <c r="F178" s="19">
        <v>935450</v>
      </c>
      <c r="G178" s="87">
        <f t="shared" si="2"/>
        <v>7.635041958415741</v>
      </c>
      <c r="H178" s="19">
        <v>864028</v>
      </c>
      <c r="I178" s="86">
        <f>898563-34535</f>
        <v>864028</v>
      </c>
      <c r="J178" s="79"/>
      <c r="L178" s="79"/>
    </row>
    <row r="179" spans="1:12" s="56" customFormat="1" ht="30.75">
      <c r="A179" s="14"/>
      <c r="B179" s="14">
        <v>150101</v>
      </c>
      <c r="C179" s="166" t="s">
        <v>114</v>
      </c>
      <c r="D179" s="15" t="s">
        <v>511</v>
      </c>
      <c r="E179" s="15" t="s">
        <v>408</v>
      </c>
      <c r="F179" s="19">
        <v>822602</v>
      </c>
      <c r="G179" s="18">
        <f t="shared" si="2"/>
        <v>58.78808950136275</v>
      </c>
      <c r="H179" s="19">
        <v>339010</v>
      </c>
      <c r="I179" s="19">
        <v>339010</v>
      </c>
      <c r="J179" s="79"/>
      <c r="L179" s="79"/>
    </row>
    <row r="180" spans="1:12" s="56" customFormat="1" ht="15.75" hidden="1">
      <c r="A180" s="14"/>
      <c r="B180" s="14"/>
      <c r="C180" s="166" t="s">
        <v>114</v>
      </c>
      <c r="D180" s="15"/>
      <c r="E180" s="15" t="s">
        <v>513</v>
      </c>
      <c r="F180" s="19"/>
      <c r="G180" s="55"/>
      <c r="H180" s="19"/>
      <c r="I180" s="19"/>
      <c r="J180" s="79"/>
      <c r="L180" s="79"/>
    </row>
    <row r="181" spans="1:12" s="56" customFormat="1" ht="15.75">
      <c r="A181" s="14"/>
      <c r="B181" s="14">
        <v>150101</v>
      </c>
      <c r="C181" s="166" t="s">
        <v>114</v>
      </c>
      <c r="D181" s="15" t="s">
        <v>511</v>
      </c>
      <c r="E181" s="15" t="s">
        <v>303</v>
      </c>
      <c r="F181" s="19">
        <v>1210001</v>
      </c>
      <c r="G181" s="18">
        <f>100-(H181/F181*100)</f>
        <v>26.650804420822794</v>
      </c>
      <c r="H181" s="19">
        <v>887526</v>
      </c>
      <c r="I181" s="19">
        <v>562624</v>
      </c>
      <c r="J181" s="79"/>
      <c r="L181" s="79"/>
    </row>
    <row r="182" spans="1:12" s="56" customFormat="1" ht="15.75" hidden="1">
      <c r="A182" s="14"/>
      <c r="B182" s="14">
        <v>150101</v>
      </c>
      <c r="C182" s="166" t="s">
        <v>114</v>
      </c>
      <c r="D182" s="15" t="s">
        <v>511</v>
      </c>
      <c r="E182" s="15" t="s">
        <v>513</v>
      </c>
      <c r="F182" s="19"/>
      <c r="G182" s="18" t="e">
        <f>100-(H182/F182*100)</f>
        <v>#DIV/0!</v>
      </c>
      <c r="H182" s="19"/>
      <c r="I182" s="19"/>
      <c r="J182" s="79"/>
      <c r="L182" s="79"/>
    </row>
    <row r="183" spans="1:12" s="56" customFormat="1" ht="39" customHeight="1">
      <c r="A183" s="14"/>
      <c r="B183" s="14">
        <v>150101</v>
      </c>
      <c r="C183" s="166" t="s">
        <v>114</v>
      </c>
      <c r="D183" s="15" t="s">
        <v>511</v>
      </c>
      <c r="E183" s="15" t="s">
        <v>409</v>
      </c>
      <c r="F183" s="19">
        <v>10600000</v>
      </c>
      <c r="G183" s="18">
        <f>100-(H183/F183*100)</f>
        <v>2.8018867924528337</v>
      </c>
      <c r="H183" s="19">
        <v>10303000</v>
      </c>
      <c r="I183" s="19">
        <v>150000</v>
      </c>
      <c r="J183" s="79"/>
      <c r="L183" s="79"/>
    </row>
    <row r="184" spans="1:12" s="56" customFormat="1" ht="46.5" customHeight="1">
      <c r="A184" s="14"/>
      <c r="B184" s="14">
        <v>150101</v>
      </c>
      <c r="C184" s="166" t="s">
        <v>114</v>
      </c>
      <c r="D184" s="15" t="s">
        <v>511</v>
      </c>
      <c r="E184" s="15" t="s">
        <v>339</v>
      </c>
      <c r="F184" s="113">
        <v>1989000</v>
      </c>
      <c r="G184" s="114">
        <f aca="true" t="shared" si="3" ref="G184:G268">100-(H184/F184)*100</f>
        <v>0.7541478129713397</v>
      </c>
      <c r="H184" s="19">
        <v>1974000</v>
      </c>
      <c r="I184" s="19">
        <v>1974000</v>
      </c>
      <c r="J184" s="79"/>
      <c r="L184" s="79"/>
    </row>
    <row r="185" spans="1:12" s="56" customFormat="1" ht="61.5" hidden="1">
      <c r="A185" s="14"/>
      <c r="B185" s="14">
        <v>150101</v>
      </c>
      <c r="C185" s="166" t="s">
        <v>114</v>
      </c>
      <c r="D185" s="15" t="s">
        <v>511</v>
      </c>
      <c r="E185" s="15" t="s">
        <v>302</v>
      </c>
      <c r="F185" s="113"/>
      <c r="G185" s="114"/>
      <c r="H185" s="109"/>
      <c r="I185" s="109">
        <f>760057-760057</f>
        <v>0</v>
      </c>
      <c r="J185" s="79"/>
      <c r="L185" s="79"/>
    </row>
    <row r="186" spans="1:12" s="56" customFormat="1" ht="36.75" customHeight="1">
      <c r="A186" s="14"/>
      <c r="B186" s="14">
        <v>150101</v>
      </c>
      <c r="C186" s="166" t="s">
        <v>114</v>
      </c>
      <c r="D186" s="15" t="s">
        <v>511</v>
      </c>
      <c r="E186" s="92" t="s">
        <v>146</v>
      </c>
      <c r="F186" s="113">
        <v>247171</v>
      </c>
      <c r="G186" s="113">
        <f t="shared" si="3"/>
        <v>34.139522840462675</v>
      </c>
      <c r="H186" s="113">
        <v>162788</v>
      </c>
      <c r="I186" s="113">
        <f>247171-84383</f>
        <v>162788</v>
      </c>
      <c r="J186" s="79"/>
      <c r="L186" s="79"/>
    </row>
    <row r="187" spans="1:12" s="56" customFormat="1" ht="61.5">
      <c r="A187" s="14"/>
      <c r="B187" s="104">
        <v>150101</v>
      </c>
      <c r="C187" s="174" t="s">
        <v>114</v>
      </c>
      <c r="D187" s="89" t="s">
        <v>511</v>
      </c>
      <c r="E187" s="89" t="s">
        <v>183</v>
      </c>
      <c r="F187" s="113">
        <v>300000</v>
      </c>
      <c r="G187" s="113">
        <f t="shared" si="3"/>
        <v>0</v>
      </c>
      <c r="H187" s="113">
        <v>300000</v>
      </c>
      <c r="I187" s="113">
        <v>300000</v>
      </c>
      <c r="J187" s="79"/>
      <c r="L187" s="79"/>
    </row>
    <row r="188" spans="1:12" s="56" customFormat="1" ht="31.5">
      <c r="A188" s="14"/>
      <c r="B188" s="104">
        <v>150101</v>
      </c>
      <c r="C188" s="174" t="s">
        <v>114</v>
      </c>
      <c r="D188" s="89" t="s">
        <v>511</v>
      </c>
      <c r="E188" s="89" t="s">
        <v>199</v>
      </c>
      <c r="F188" s="197">
        <v>200515</v>
      </c>
      <c r="G188" s="113">
        <f t="shared" si="3"/>
        <v>0</v>
      </c>
      <c r="H188" s="197">
        <v>200515</v>
      </c>
      <c r="I188" s="197">
        <v>200515</v>
      </c>
      <c r="J188" s="79"/>
      <c r="L188" s="79"/>
    </row>
    <row r="189" spans="1:12" s="56" customFormat="1" ht="31.5">
      <c r="A189" s="14"/>
      <c r="B189" s="14">
        <v>150101</v>
      </c>
      <c r="C189" s="166" t="s">
        <v>114</v>
      </c>
      <c r="D189" s="15" t="s">
        <v>511</v>
      </c>
      <c r="E189" s="15" t="s">
        <v>384</v>
      </c>
      <c r="F189" s="110">
        <v>4604675</v>
      </c>
      <c r="G189" s="196">
        <f t="shared" si="3"/>
        <v>87.49968238800784</v>
      </c>
      <c r="H189" s="110">
        <v>575599</v>
      </c>
      <c r="I189" s="110">
        <v>575599</v>
      </c>
      <c r="J189" s="79"/>
      <c r="L189" s="79"/>
    </row>
    <row r="190" spans="1:12" s="56" customFormat="1" ht="58.5" customHeight="1">
      <c r="A190" s="14"/>
      <c r="B190" s="14">
        <v>150101</v>
      </c>
      <c r="C190" s="166" t="s">
        <v>114</v>
      </c>
      <c r="D190" s="15" t="s">
        <v>511</v>
      </c>
      <c r="E190" s="15" t="s">
        <v>385</v>
      </c>
      <c r="F190" s="19">
        <v>1108840</v>
      </c>
      <c r="G190" s="114">
        <f t="shared" si="3"/>
        <v>0</v>
      </c>
      <c r="H190" s="19">
        <v>1108840</v>
      </c>
      <c r="I190" s="19">
        <v>100000</v>
      </c>
      <c r="J190" s="79"/>
      <c r="L190" s="79"/>
    </row>
    <row r="191" spans="1:12" s="56" customFormat="1" ht="61.5">
      <c r="A191" s="14"/>
      <c r="B191" s="14">
        <v>150101</v>
      </c>
      <c r="C191" s="166" t="s">
        <v>114</v>
      </c>
      <c r="D191" s="15" t="s">
        <v>511</v>
      </c>
      <c r="E191" s="15" t="s">
        <v>386</v>
      </c>
      <c r="F191" s="86">
        <v>10412057</v>
      </c>
      <c r="G191" s="114">
        <f t="shared" si="3"/>
        <v>1.3657147670244143</v>
      </c>
      <c r="H191" s="19">
        <v>10269858</v>
      </c>
      <c r="I191" s="19">
        <f>4000000+3782760</f>
        <v>7782760</v>
      </c>
      <c r="J191" s="79"/>
      <c r="L191" s="79"/>
    </row>
    <row r="192" spans="1:12" s="56" customFormat="1" ht="31.5">
      <c r="A192" s="14"/>
      <c r="B192" s="14">
        <v>150101</v>
      </c>
      <c r="C192" s="166" t="s">
        <v>114</v>
      </c>
      <c r="D192" s="15" t="s">
        <v>511</v>
      </c>
      <c r="E192" s="92" t="s">
        <v>200</v>
      </c>
      <c r="F192" s="86">
        <v>6849198</v>
      </c>
      <c r="G192" s="114">
        <f t="shared" si="3"/>
        <v>2.2162594803070306</v>
      </c>
      <c r="H192" s="19">
        <v>6697402</v>
      </c>
      <c r="I192" s="19">
        <v>3396924</v>
      </c>
      <c r="J192" s="79"/>
      <c r="L192" s="79"/>
    </row>
    <row r="193" spans="1:12" s="56" customFormat="1" ht="46.5">
      <c r="A193" s="14"/>
      <c r="B193" s="14">
        <v>150101</v>
      </c>
      <c r="C193" s="166" t="s">
        <v>114</v>
      </c>
      <c r="D193" s="15" t="s">
        <v>511</v>
      </c>
      <c r="E193" s="15" t="s">
        <v>387</v>
      </c>
      <c r="F193" s="19">
        <v>8930209</v>
      </c>
      <c r="G193" s="114">
        <f t="shared" si="3"/>
        <v>6.011606223325799</v>
      </c>
      <c r="H193" s="19">
        <v>8393360</v>
      </c>
      <c r="I193" s="19">
        <v>2568303</v>
      </c>
      <c r="J193" s="79"/>
      <c r="L193" s="79"/>
    </row>
    <row r="194" spans="1:12" s="56" customFormat="1" ht="30.75">
      <c r="A194" s="14"/>
      <c r="B194" s="14">
        <v>150101</v>
      </c>
      <c r="C194" s="166" t="s">
        <v>114</v>
      </c>
      <c r="D194" s="15" t="s">
        <v>511</v>
      </c>
      <c r="E194" s="15" t="s">
        <v>402</v>
      </c>
      <c r="F194" s="19">
        <v>4027730</v>
      </c>
      <c r="G194" s="18">
        <f t="shared" si="3"/>
        <v>87.76616108825567</v>
      </c>
      <c r="H194" s="19">
        <v>492746</v>
      </c>
      <c r="I194" s="19">
        <v>205</v>
      </c>
      <c r="J194" s="79"/>
      <c r="L194" s="79"/>
    </row>
    <row r="195" spans="1:12" s="164" customFormat="1" ht="45.75">
      <c r="A195" s="151"/>
      <c r="B195" s="151">
        <v>150101</v>
      </c>
      <c r="C195" s="166" t="s">
        <v>114</v>
      </c>
      <c r="D195" s="152" t="s">
        <v>511</v>
      </c>
      <c r="E195" s="153" t="s">
        <v>205</v>
      </c>
      <c r="F195" s="162">
        <v>3068143</v>
      </c>
      <c r="G195" s="155">
        <f t="shared" si="3"/>
        <v>0.0403501401336257</v>
      </c>
      <c r="H195" s="162">
        <v>3066905</v>
      </c>
      <c r="I195" s="193">
        <f>3066905-2966905</f>
        <v>100000</v>
      </c>
      <c r="J195" s="163"/>
      <c r="L195" s="163"/>
    </row>
    <row r="196" spans="1:12" s="164" customFormat="1" ht="30.75">
      <c r="A196" s="151"/>
      <c r="B196" s="151">
        <v>150101</v>
      </c>
      <c r="C196" s="166" t="s">
        <v>114</v>
      </c>
      <c r="D196" s="152" t="s">
        <v>511</v>
      </c>
      <c r="E196" s="153" t="s">
        <v>195</v>
      </c>
      <c r="F196" s="162">
        <v>1266175</v>
      </c>
      <c r="G196" s="155">
        <f t="shared" si="3"/>
        <v>0</v>
      </c>
      <c r="H196" s="162">
        <v>1266175</v>
      </c>
      <c r="I196" s="193">
        <v>1266175</v>
      </c>
      <c r="J196" s="163"/>
      <c r="L196" s="163"/>
    </row>
    <row r="197" spans="1:12" s="164" customFormat="1" ht="30.75">
      <c r="A197" s="151"/>
      <c r="B197" s="151">
        <v>150101</v>
      </c>
      <c r="C197" s="166" t="s">
        <v>114</v>
      </c>
      <c r="D197" s="152" t="s">
        <v>511</v>
      </c>
      <c r="E197" s="153" t="s">
        <v>196</v>
      </c>
      <c r="F197" s="162">
        <v>94253</v>
      </c>
      <c r="G197" s="155">
        <f t="shared" si="3"/>
        <v>0</v>
      </c>
      <c r="H197" s="162">
        <v>94253</v>
      </c>
      <c r="I197" s="193">
        <v>94253</v>
      </c>
      <c r="J197" s="163"/>
      <c r="L197" s="163"/>
    </row>
    <row r="198" spans="1:12" s="56" customFormat="1" ht="30.75">
      <c r="A198" s="14"/>
      <c r="B198" s="14">
        <v>150101</v>
      </c>
      <c r="C198" s="166" t="s">
        <v>114</v>
      </c>
      <c r="D198" s="15" t="s">
        <v>511</v>
      </c>
      <c r="E198" s="15" t="s">
        <v>388</v>
      </c>
      <c r="F198" s="19">
        <v>2000000</v>
      </c>
      <c r="G198" s="18">
        <f t="shared" si="3"/>
        <v>3.540849999999992</v>
      </c>
      <c r="H198" s="19">
        <v>1929183</v>
      </c>
      <c r="I198" s="19">
        <v>414184</v>
      </c>
      <c r="J198" s="79"/>
      <c r="L198" s="79"/>
    </row>
    <row r="199" spans="1:12" s="56" customFormat="1" ht="45.75">
      <c r="A199" s="14"/>
      <c r="B199" s="14">
        <v>150101</v>
      </c>
      <c r="C199" s="166" t="s">
        <v>114</v>
      </c>
      <c r="D199" s="15" t="s">
        <v>511</v>
      </c>
      <c r="E199" s="15" t="s">
        <v>411</v>
      </c>
      <c r="F199" s="19">
        <v>1418906</v>
      </c>
      <c r="G199" s="18">
        <f>100-(H199/F199)*100</f>
        <v>3.5152434340259333</v>
      </c>
      <c r="H199" s="86">
        <f>217905-26469+1151123+26469</f>
        <v>1369028</v>
      </c>
      <c r="I199" s="19">
        <f>217905-26469+26469+1151123</f>
        <v>1369028</v>
      </c>
      <c r="J199" s="79"/>
      <c r="K199" s="192">
        <f>J199-I199</f>
        <v>-1369028</v>
      </c>
      <c r="L199" s="79"/>
    </row>
    <row r="200" spans="1:12" s="20" customFormat="1" ht="60.75">
      <c r="A200" s="14"/>
      <c r="B200" s="14">
        <v>150101</v>
      </c>
      <c r="C200" s="166" t="s">
        <v>114</v>
      </c>
      <c r="D200" s="15" t="s">
        <v>511</v>
      </c>
      <c r="E200" s="15" t="s">
        <v>276</v>
      </c>
      <c r="F200" s="17">
        <v>887348</v>
      </c>
      <c r="G200" s="18">
        <f t="shared" si="3"/>
        <v>8.033375857048199</v>
      </c>
      <c r="H200" s="17">
        <v>816064</v>
      </c>
      <c r="I200" s="17">
        <f>960541-144477</f>
        <v>816064</v>
      </c>
      <c r="J200" s="78"/>
      <c r="L200" s="78"/>
    </row>
    <row r="201" spans="1:12" s="20" customFormat="1" ht="45.75">
      <c r="A201" s="14"/>
      <c r="B201" s="14">
        <v>150101</v>
      </c>
      <c r="C201" s="166" t="s">
        <v>114</v>
      </c>
      <c r="D201" s="15" t="s">
        <v>511</v>
      </c>
      <c r="E201" s="92" t="s">
        <v>77</v>
      </c>
      <c r="F201" s="17">
        <v>66541</v>
      </c>
      <c r="G201" s="18">
        <f t="shared" si="3"/>
        <v>0</v>
      </c>
      <c r="H201" s="17">
        <v>66541</v>
      </c>
      <c r="I201" s="17">
        <v>66541</v>
      </c>
      <c r="J201" s="78"/>
      <c r="L201" s="78"/>
    </row>
    <row r="202" spans="1:12" s="20" customFormat="1" ht="60.75">
      <c r="A202" s="14"/>
      <c r="B202" s="14">
        <v>150101</v>
      </c>
      <c r="C202" s="166" t="s">
        <v>114</v>
      </c>
      <c r="D202" s="15" t="s">
        <v>511</v>
      </c>
      <c r="E202" s="15" t="s">
        <v>389</v>
      </c>
      <c r="F202" s="17">
        <v>1200000</v>
      </c>
      <c r="G202" s="18">
        <f t="shared" si="3"/>
        <v>0</v>
      </c>
      <c r="H202" s="17">
        <v>1200000</v>
      </c>
      <c r="I202" s="17">
        <v>1200000</v>
      </c>
      <c r="J202" s="78"/>
      <c r="L202" s="78"/>
    </row>
    <row r="203" spans="1:12" s="20" customFormat="1" ht="45.75">
      <c r="A203" s="14"/>
      <c r="B203" s="14">
        <v>150101</v>
      </c>
      <c r="C203" s="166" t="s">
        <v>114</v>
      </c>
      <c r="D203" s="15" t="s">
        <v>511</v>
      </c>
      <c r="E203" s="92" t="s">
        <v>78</v>
      </c>
      <c r="F203" s="17">
        <v>90000</v>
      </c>
      <c r="G203" s="18">
        <f t="shared" si="3"/>
        <v>0</v>
      </c>
      <c r="H203" s="17">
        <v>90000</v>
      </c>
      <c r="I203" s="17">
        <v>90000</v>
      </c>
      <c r="J203" s="78"/>
      <c r="L203" s="78"/>
    </row>
    <row r="204" spans="1:12" s="20" customFormat="1" ht="60.75">
      <c r="A204" s="14"/>
      <c r="B204" s="14">
        <v>150101</v>
      </c>
      <c r="C204" s="166" t="s">
        <v>114</v>
      </c>
      <c r="D204" s="15" t="s">
        <v>511</v>
      </c>
      <c r="E204" s="15" t="s">
        <v>394</v>
      </c>
      <c r="F204" s="17">
        <v>1217413</v>
      </c>
      <c r="G204" s="18">
        <f t="shared" si="3"/>
        <v>42.43128667099826</v>
      </c>
      <c r="H204" s="85">
        <v>700849</v>
      </c>
      <c r="I204" s="85">
        <v>700849</v>
      </c>
      <c r="J204" s="78"/>
      <c r="L204" s="78"/>
    </row>
    <row r="205" spans="1:12" s="20" customFormat="1" ht="30.75">
      <c r="A205" s="14"/>
      <c r="B205" s="14">
        <v>150101</v>
      </c>
      <c r="C205" s="166" t="s">
        <v>114</v>
      </c>
      <c r="D205" s="15" t="s">
        <v>511</v>
      </c>
      <c r="E205" s="15" t="s">
        <v>396</v>
      </c>
      <c r="F205" s="17">
        <v>11704046</v>
      </c>
      <c r="G205" s="18">
        <f t="shared" si="3"/>
        <v>32.631074758250264</v>
      </c>
      <c r="H205" s="85">
        <v>7884890</v>
      </c>
      <c r="I205" s="85">
        <v>7884890</v>
      </c>
      <c r="J205" s="78"/>
      <c r="L205" s="78"/>
    </row>
    <row r="206" spans="1:12" s="20" customFormat="1" ht="45.75">
      <c r="A206" s="14"/>
      <c r="B206" s="14">
        <v>150101</v>
      </c>
      <c r="C206" s="166" t="s">
        <v>114</v>
      </c>
      <c r="D206" s="15" t="s">
        <v>511</v>
      </c>
      <c r="E206" s="15" t="s">
        <v>397</v>
      </c>
      <c r="F206" s="17">
        <v>600000</v>
      </c>
      <c r="G206" s="18">
        <f t="shared" si="3"/>
        <v>20.426666666666677</v>
      </c>
      <c r="H206" s="17">
        <v>477440</v>
      </c>
      <c r="I206" s="85">
        <v>350000</v>
      </c>
      <c r="J206" s="78"/>
      <c r="L206" s="78"/>
    </row>
    <row r="207" spans="1:12" s="20" customFormat="1" ht="45.75">
      <c r="A207" s="14"/>
      <c r="B207" s="14">
        <v>150101</v>
      </c>
      <c r="C207" s="166" t="s">
        <v>114</v>
      </c>
      <c r="D207" s="15" t="s">
        <v>511</v>
      </c>
      <c r="E207" s="15" t="s">
        <v>325</v>
      </c>
      <c r="F207" s="17">
        <v>1220465</v>
      </c>
      <c r="G207" s="18">
        <f t="shared" si="3"/>
        <v>70.27485425636951</v>
      </c>
      <c r="H207" s="85">
        <v>362785</v>
      </c>
      <c r="I207" s="85">
        <v>362785</v>
      </c>
      <c r="J207" s="78"/>
      <c r="L207" s="78"/>
    </row>
    <row r="208" spans="1:12" s="20" customFormat="1" ht="30.75">
      <c r="A208" s="14"/>
      <c r="B208" s="14">
        <v>150101</v>
      </c>
      <c r="C208" s="166" t="s">
        <v>114</v>
      </c>
      <c r="D208" s="15" t="s">
        <v>511</v>
      </c>
      <c r="E208" s="92" t="s">
        <v>99</v>
      </c>
      <c r="F208" s="17">
        <v>2921084</v>
      </c>
      <c r="G208" s="18">
        <f t="shared" si="3"/>
        <v>3.292168249868894</v>
      </c>
      <c r="H208" s="85">
        <v>2824917</v>
      </c>
      <c r="I208" s="85">
        <v>2607600</v>
      </c>
      <c r="J208" s="78"/>
      <c r="L208" s="78"/>
    </row>
    <row r="209" spans="1:12" s="20" customFormat="1" ht="30.75">
      <c r="A209" s="14"/>
      <c r="B209" s="14">
        <v>150101</v>
      </c>
      <c r="C209" s="166" t="s">
        <v>114</v>
      </c>
      <c r="D209" s="15" t="s">
        <v>511</v>
      </c>
      <c r="E209" s="15" t="s">
        <v>478</v>
      </c>
      <c r="F209" s="17">
        <v>1000000</v>
      </c>
      <c r="G209" s="18">
        <f t="shared" si="3"/>
        <v>0</v>
      </c>
      <c r="H209" s="85">
        <v>1000000</v>
      </c>
      <c r="I209" s="85">
        <v>1000000</v>
      </c>
      <c r="J209" s="78"/>
      <c r="L209" s="78"/>
    </row>
    <row r="210" spans="1:12" s="20" customFormat="1" ht="45.75">
      <c r="A210" s="14"/>
      <c r="B210" s="14">
        <v>150101</v>
      </c>
      <c r="C210" s="166" t="s">
        <v>114</v>
      </c>
      <c r="D210" s="15" t="s">
        <v>511</v>
      </c>
      <c r="E210" s="92" t="s">
        <v>81</v>
      </c>
      <c r="F210" s="17">
        <v>90000</v>
      </c>
      <c r="G210" s="18">
        <f t="shared" si="3"/>
        <v>0</v>
      </c>
      <c r="H210" s="17">
        <v>90000</v>
      </c>
      <c r="I210" s="85">
        <v>90000</v>
      </c>
      <c r="J210" s="78"/>
      <c r="L210" s="78"/>
    </row>
    <row r="211" spans="1:12" s="20" customFormat="1" ht="60.75">
      <c r="A211" s="14"/>
      <c r="B211" s="14">
        <v>150101</v>
      </c>
      <c r="C211" s="166" t="s">
        <v>114</v>
      </c>
      <c r="D211" s="15" t="s">
        <v>511</v>
      </c>
      <c r="E211" s="92" t="s">
        <v>80</v>
      </c>
      <c r="F211" s="17">
        <v>150000</v>
      </c>
      <c r="G211" s="18">
        <f t="shared" si="3"/>
        <v>0</v>
      </c>
      <c r="H211" s="17">
        <v>150000</v>
      </c>
      <c r="I211" s="85">
        <v>150000</v>
      </c>
      <c r="J211" s="78"/>
      <c r="L211" s="78"/>
    </row>
    <row r="212" spans="1:12" s="20" customFormat="1" ht="39.75" customHeight="1">
      <c r="A212" s="14"/>
      <c r="B212" s="14">
        <v>150101</v>
      </c>
      <c r="C212" s="166" t="s">
        <v>114</v>
      </c>
      <c r="D212" s="15" t="s">
        <v>511</v>
      </c>
      <c r="E212" s="15" t="s">
        <v>340</v>
      </c>
      <c r="F212" s="17">
        <v>75358</v>
      </c>
      <c r="G212" s="18">
        <f t="shared" si="3"/>
        <v>44.72783247963056</v>
      </c>
      <c r="H212" s="17">
        <v>41652</v>
      </c>
      <c r="I212" s="17">
        <v>41646</v>
      </c>
      <c r="J212" s="78"/>
      <c r="L212" s="78"/>
    </row>
    <row r="213" spans="1:12" s="20" customFormat="1" ht="30.75">
      <c r="A213" s="14"/>
      <c r="B213" s="14">
        <v>150101</v>
      </c>
      <c r="C213" s="166" t="s">
        <v>114</v>
      </c>
      <c r="D213" s="15" t="s">
        <v>511</v>
      </c>
      <c r="E213" s="15" t="s">
        <v>450</v>
      </c>
      <c r="F213" s="85">
        <v>540156</v>
      </c>
      <c r="G213" s="18">
        <f t="shared" si="3"/>
        <v>4.851931664185898</v>
      </c>
      <c r="H213" s="17">
        <v>513948</v>
      </c>
      <c r="I213" s="17">
        <v>35000</v>
      </c>
      <c r="J213" s="78"/>
      <c r="L213" s="78"/>
    </row>
    <row r="214" spans="1:12" s="20" customFormat="1" ht="45.75">
      <c r="A214" s="14"/>
      <c r="B214" s="14">
        <v>150101</v>
      </c>
      <c r="C214" s="166" t="s">
        <v>114</v>
      </c>
      <c r="D214" s="15" t="s">
        <v>511</v>
      </c>
      <c r="E214" s="15" t="s">
        <v>451</v>
      </c>
      <c r="F214" s="17">
        <v>75492</v>
      </c>
      <c r="G214" s="18">
        <f t="shared" si="3"/>
        <v>0</v>
      </c>
      <c r="H214" s="17">
        <v>75492</v>
      </c>
      <c r="I214" s="17">
        <v>75492</v>
      </c>
      <c r="J214" s="78"/>
      <c r="L214" s="78"/>
    </row>
    <row r="215" spans="1:12" s="20" customFormat="1" ht="30.75">
      <c r="A215" s="14"/>
      <c r="B215" s="14">
        <v>150101</v>
      </c>
      <c r="C215" s="166" t="s">
        <v>114</v>
      </c>
      <c r="D215" s="15" t="s">
        <v>511</v>
      </c>
      <c r="E215" s="15" t="s">
        <v>324</v>
      </c>
      <c r="F215" s="17">
        <v>1705594</v>
      </c>
      <c r="G215" s="18">
        <f t="shared" si="3"/>
        <v>0</v>
      </c>
      <c r="H215" s="17">
        <v>1705594</v>
      </c>
      <c r="I215" s="17">
        <f>210000+1495594</f>
        <v>1705594</v>
      </c>
      <c r="J215" s="78"/>
      <c r="L215" s="78"/>
    </row>
    <row r="216" spans="1:12" s="20" customFormat="1" ht="45.75">
      <c r="A216" s="14"/>
      <c r="B216" s="14">
        <v>150101</v>
      </c>
      <c r="C216" s="166" t="s">
        <v>114</v>
      </c>
      <c r="D216" s="15" t="s">
        <v>511</v>
      </c>
      <c r="E216" s="15" t="s">
        <v>322</v>
      </c>
      <c r="F216" s="17">
        <v>1084259</v>
      </c>
      <c r="G216" s="18">
        <f t="shared" si="3"/>
        <v>8.885976505613513</v>
      </c>
      <c r="H216" s="17">
        <v>987912</v>
      </c>
      <c r="I216" s="17">
        <v>903420</v>
      </c>
      <c r="J216" s="78"/>
      <c r="L216" s="78"/>
    </row>
    <row r="217" spans="1:12" s="20" customFormat="1" ht="45.75">
      <c r="A217" s="14"/>
      <c r="B217" s="14">
        <v>150101</v>
      </c>
      <c r="C217" s="166" t="s">
        <v>114</v>
      </c>
      <c r="D217" s="15" t="s">
        <v>511</v>
      </c>
      <c r="E217" s="15" t="s">
        <v>317</v>
      </c>
      <c r="F217" s="17">
        <v>636238</v>
      </c>
      <c r="G217" s="18">
        <f t="shared" si="3"/>
        <v>62.39630452755101</v>
      </c>
      <c r="H217" s="17">
        <v>239249</v>
      </c>
      <c r="I217" s="17">
        <v>239249</v>
      </c>
      <c r="J217" s="78"/>
      <c r="L217" s="78"/>
    </row>
    <row r="218" spans="1:12" s="20" customFormat="1" ht="30.75">
      <c r="A218" s="14"/>
      <c r="B218" s="14">
        <v>150101</v>
      </c>
      <c r="C218" s="166" t="s">
        <v>114</v>
      </c>
      <c r="D218" s="15" t="s">
        <v>511</v>
      </c>
      <c r="E218" s="15" t="s">
        <v>452</v>
      </c>
      <c r="F218" s="17">
        <v>400000</v>
      </c>
      <c r="G218" s="18">
        <v>0</v>
      </c>
      <c r="H218" s="17">
        <v>400000</v>
      </c>
      <c r="I218" s="17">
        <v>400000</v>
      </c>
      <c r="J218" s="78"/>
      <c r="L218" s="78"/>
    </row>
    <row r="219" spans="1:12" s="20" customFormat="1" ht="45.75">
      <c r="A219" s="14"/>
      <c r="B219" s="14">
        <v>150101</v>
      </c>
      <c r="C219" s="166" t="s">
        <v>114</v>
      </c>
      <c r="D219" s="15" t="s">
        <v>511</v>
      </c>
      <c r="E219" s="15" t="s">
        <v>433</v>
      </c>
      <c r="F219" s="17">
        <v>376904</v>
      </c>
      <c r="G219" s="18">
        <f t="shared" si="3"/>
        <v>2.881900961518042</v>
      </c>
      <c r="H219" s="17">
        <v>366042</v>
      </c>
      <c r="I219" s="17">
        <v>18385</v>
      </c>
      <c r="J219" s="78"/>
      <c r="L219" s="78"/>
    </row>
    <row r="220" spans="1:12" s="20" customFormat="1" ht="45.75" hidden="1">
      <c r="A220" s="14"/>
      <c r="B220" s="14">
        <v>150101</v>
      </c>
      <c r="C220" s="166" t="s">
        <v>114</v>
      </c>
      <c r="D220" s="15" t="s">
        <v>511</v>
      </c>
      <c r="E220" s="15" t="s">
        <v>453</v>
      </c>
      <c r="F220" s="17"/>
      <c r="G220" s="18"/>
      <c r="H220" s="17"/>
      <c r="I220" s="17"/>
      <c r="J220" s="78"/>
      <c r="L220" s="78"/>
    </row>
    <row r="221" spans="1:12" s="20" customFormat="1" ht="30.75">
      <c r="A221" s="14"/>
      <c r="B221" s="14">
        <v>150101</v>
      </c>
      <c r="C221" s="166" t="s">
        <v>114</v>
      </c>
      <c r="D221" s="15" t="s">
        <v>511</v>
      </c>
      <c r="E221" s="15" t="s">
        <v>454</v>
      </c>
      <c r="F221" s="85">
        <v>7999556</v>
      </c>
      <c r="G221" s="87">
        <f t="shared" si="3"/>
        <v>4.198545519276323</v>
      </c>
      <c r="H221" s="85">
        <v>7663691</v>
      </c>
      <c r="I221" s="85">
        <f>5849443-5817443</f>
        <v>32000</v>
      </c>
      <c r="J221" s="78"/>
      <c r="L221" s="78"/>
    </row>
    <row r="222" spans="1:12" s="157" customFormat="1" ht="30.75">
      <c r="A222" s="151"/>
      <c r="B222" s="151">
        <v>150101</v>
      </c>
      <c r="C222" s="166" t="s">
        <v>114</v>
      </c>
      <c r="D222" s="152" t="s">
        <v>511</v>
      </c>
      <c r="E222" s="153" t="s">
        <v>82</v>
      </c>
      <c r="F222" s="154">
        <v>374240</v>
      </c>
      <c r="G222" s="155">
        <f t="shared" si="3"/>
        <v>26.550876442924334</v>
      </c>
      <c r="H222" s="154">
        <v>274876</v>
      </c>
      <c r="I222" s="154">
        <v>274876</v>
      </c>
      <c r="J222" s="156"/>
      <c r="L222" s="156"/>
    </row>
    <row r="223" spans="1:12" s="20" customFormat="1" ht="45.75">
      <c r="A223" s="14"/>
      <c r="B223" s="14">
        <v>150101</v>
      </c>
      <c r="C223" s="166" t="s">
        <v>114</v>
      </c>
      <c r="D223" s="15" t="s">
        <v>511</v>
      </c>
      <c r="E223" s="15" t="s">
        <v>455</v>
      </c>
      <c r="F223" s="17">
        <v>164449</v>
      </c>
      <c r="G223" s="18">
        <f t="shared" si="3"/>
        <v>0</v>
      </c>
      <c r="H223" s="17">
        <v>164449</v>
      </c>
      <c r="I223" s="17">
        <v>164449</v>
      </c>
      <c r="J223" s="78"/>
      <c r="L223" s="78"/>
    </row>
    <row r="224" spans="1:12" s="20" customFormat="1" ht="45.75">
      <c r="A224" s="14"/>
      <c r="B224" s="14">
        <v>150101</v>
      </c>
      <c r="C224" s="166" t="s">
        <v>114</v>
      </c>
      <c r="D224" s="15" t="s">
        <v>511</v>
      </c>
      <c r="E224" s="15" t="s">
        <v>415</v>
      </c>
      <c r="F224" s="17">
        <v>19433</v>
      </c>
      <c r="G224" s="18">
        <f t="shared" si="3"/>
        <v>0</v>
      </c>
      <c r="H224" s="17">
        <v>19433</v>
      </c>
      <c r="I224" s="17">
        <v>17440</v>
      </c>
      <c r="J224" s="78"/>
      <c r="L224" s="78"/>
    </row>
    <row r="225" spans="1:12" s="20" customFormat="1" ht="84.75" customHeight="1">
      <c r="A225" s="14"/>
      <c r="B225" s="14">
        <v>150101</v>
      </c>
      <c r="C225" s="166" t="s">
        <v>114</v>
      </c>
      <c r="D225" s="15" t="s">
        <v>511</v>
      </c>
      <c r="E225" s="92" t="s">
        <v>173</v>
      </c>
      <c r="F225" s="17">
        <v>7724916</v>
      </c>
      <c r="G225" s="18">
        <f t="shared" si="3"/>
        <v>50.88013902028191</v>
      </c>
      <c r="H225" s="17">
        <v>3794468</v>
      </c>
      <c r="I225" s="17">
        <f>2166383+1628085</f>
        <v>3794468</v>
      </c>
      <c r="J225" s="78"/>
      <c r="L225" s="78"/>
    </row>
    <row r="226" spans="1:12" s="20" customFormat="1" ht="30.75">
      <c r="A226" s="14"/>
      <c r="B226" s="14">
        <v>150101</v>
      </c>
      <c r="C226" s="166" t="s">
        <v>114</v>
      </c>
      <c r="D226" s="15" t="s">
        <v>511</v>
      </c>
      <c r="E226" s="15" t="s">
        <v>417</v>
      </c>
      <c r="F226" s="17">
        <v>267878</v>
      </c>
      <c r="G226" s="18">
        <f t="shared" si="3"/>
        <v>32.23967627054107</v>
      </c>
      <c r="H226" s="17">
        <v>181515</v>
      </c>
      <c r="I226" s="17">
        <v>181515</v>
      </c>
      <c r="J226" s="78"/>
      <c r="L226" s="78"/>
    </row>
    <row r="227" spans="1:12" s="20" customFormat="1" ht="30.75">
      <c r="A227" s="14"/>
      <c r="B227" s="14">
        <v>150101</v>
      </c>
      <c r="C227" s="166" t="s">
        <v>114</v>
      </c>
      <c r="D227" s="15" t="s">
        <v>511</v>
      </c>
      <c r="E227" s="15" t="s">
        <v>418</v>
      </c>
      <c r="F227" s="17">
        <v>253469</v>
      </c>
      <c r="G227" s="18">
        <f t="shared" si="3"/>
        <v>31.1079461393701</v>
      </c>
      <c r="H227" s="17">
        <v>174620</v>
      </c>
      <c r="I227" s="17">
        <v>174620</v>
      </c>
      <c r="J227" s="78"/>
      <c r="L227" s="78"/>
    </row>
    <row r="228" spans="1:12" s="20" customFormat="1" ht="39.75" customHeight="1">
      <c r="A228" s="14"/>
      <c r="B228" s="14">
        <v>150101</v>
      </c>
      <c r="C228" s="166" t="s">
        <v>114</v>
      </c>
      <c r="D228" s="15" t="s">
        <v>511</v>
      </c>
      <c r="E228" s="15" t="s">
        <v>419</v>
      </c>
      <c r="F228" s="17">
        <v>219013</v>
      </c>
      <c r="G228" s="18">
        <f t="shared" si="3"/>
        <v>11.770534169204566</v>
      </c>
      <c r="H228" s="17">
        <v>193234</v>
      </c>
      <c r="I228" s="17">
        <v>193234</v>
      </c>
      <c r="J228" s="78"/>
      <c r="L228" s="78"/>
    </row>
    <row r="229" spans="1:12" s="20" customFormat="1" ht="54" customHeight="1">
      <c r="A229" s="14"/>
      <c r="B229" s="14">
        <v>150101</v>
      </c>
      <c r="C229" s="166" t="s">
        <v>114</v>
      </c>
      <c r="D229" s="15" t="s">
        <v>511</v>
      </c>
      <c r="E229" s="15" t="s">
        <v>479</v>
      </c>
      <c r="F229" s="17">
        <v>147134</v>
      </c>
      <c r="G229" s="18">
        <f t="shared" si="3"/>
        <v>16.51895550994331</v>
      </c>
      <c r="H229" s="17">
        <v>122829</v>
      </c>
      <c r="I229" s="17">
        <v>122829</v>
      </c>
      <c r="J229" s="78"/>
      <c r="L229" s="78"/>
    </row>
    <row r="230" spans="1:12" s="20" customFormat="1" ht="45.75">
      <c r="A230" s="14"/>
      <c r="B230" s="14">
        <v>150101</v>
      </c>
      <c r="C230" s="166" t="s">
        <v>114</v>
      </c>
      <c r="D230" s="15" t="s">
        <v>511</v>
      </c>
      <c r="E230" s="15" t="s">
        <v>456</v>
      </c>
      <c r="F230" s="17">
        <v>108613</v>
      </c>
      <c r="G230" s="18">
        <f t="shared" si="3"/>
        <v>0</v>
      </c>
      <c r="H230" s="17">
        <v>108613</v>
      </c>
      <c r="I230" s="17">
        <v>108613</v>
      </c>
      <c r="J230" s="78"/>
      <c r="L230" s="78"/>
    </row>
    <row r="231" spans="1:12" s="20" customFormat="1" ht="45.75">
      <c r="A231" s="14"/>
      <c r="B231" s="14">
        <v>150101</v>
      </c>
      <c r="C231" s="166" t="s">
        <v>114</v>
      </c>
      <c r="D231" s="15" t="s">
        <v>511</v>
      </c>
      <c r="E231" s="15" t="s">
        <v>457</v>
      </c>
      <c r="F231" s="17">
        <v>198316</v>
      </c>
      <c r="G231" s="18">
        <f t="shared" si="3"/>
        <v>0</v>
      </c>
      <c r="H231" s="17">
        <v>198316</v>
      </c>
      <c r="I231" s="17">
        <v>198316</v>
      </c>
      <c r="J231" s="78"/>
      <c r="L231" s="78"/>
    </row>
    <row r="232" spans="1:12" s="20" customFormat="1" ht="60.75">
      <c r="A232" s="14"/>
      <c r="B232" s="14">
        <v>150101</v>
      </c>
      <c r="C232" s="166" t="s">
        <v>114</v>
      </c>
      <c r="D232" s="15" t="s">
        <v>511</v>
      </c>
      <c r="E232" s="15" t="s">
        <v>458</v>
      </c>
      <c r="F232" s="17">
        <v>191593</v>
      </c>
      <c r="G232" s="18">
        <f t="shared" si="3"/>
        <v>0</v>
      </c>
      <c r="H232" s="17">
        <v>191593</v>
      </c>
      <c r="I232" s="17">
        <v>191593</v>
      </c>
      <c r="J232" s="78"/>
      <c r="L232" s="78"/>
    </row>
    <row r="233" spans="1:12" s="20" customFormat="1" ht="45.75">
      <c r="A233" s="14"/>
      <c r="B233" s="14">
        <v>150101</v>
      </c>
      <c r="C233" s="166" t="s">
        <v>114</v>
      </c>
      <c r="D233" s="15" t="s">
        <v>511</v>
      </c>
      <c r="E233" s="15" t="s">
        <v>459</v>
      </c>
      <c r="F233" s="17">
        <v>193084</v>
      </c>
      <c r="G233" s="18">
        <f t="shared" si="3"/>
        <v>0</v>
      </c>
      <c r="H233" s="17">
        <v>193084</v>
      </c>
      <c r="I233" s="17">
        <v>193084</v>
      </c>
      <c r="J233" s="78"/>
      <c r="L233" s="78"/>
    </row>
    <row r="234" spans="1:12" s="20" customFormat="1" ht="30.75">
      <c r="A234" s="14"/>
      <c r="B234" s="14">
        <v>150101</v>
      </c>
      <c r="C234" s="166" t="s">
        <v>114</v>
      </c>
      <c r="D234" s="15" t="s">
        <v>511</v>
      </c>
      <c r="E234" s="92" t="s">
        <v>207</v>
      </c>
      <c r="F234" s="17">
        <v>275876</v>
      </c>
      <c r="G234" s="18">
        <f t="shared" si="3"/>
        <v>0</v>
      </c>
      <c r="H234" s="17">
        <v>275876</v>
      </c>
      <c r="I234" s="17">
        <v>275876</v>
      </c>
      <c r="J234" s="78"/>
      <c r="L234" s="78"/>
    </row>
    <row r="235" spans="1:12" s="20" customFormat="1" ht="45.75">
      <c r="A235" s="14"/>
      <c r="B235" s="14">
        <v>150101</v>
      </c>
      <c r="C235" s="166" t="s">
        <v>114</v>
      </c>
      <c r="D235" s="15" t="s">
        <v>511</v>
      </c>
      <c r="E235" s="15" t="s">
        <v>421</v>
      </c>
      <c r="F235" s="17">
        <v>215230</v>
      </c>
      <c r="G235" s="18">
        <f t="shared" si="3"/>
        <v>0</v>
      </c>
      <c r="H235" s="17">
        <v>215230</v>
      </c>
      <c r="I235" s="17">
        <v>215230</v>
      </c>
      <c r="J235" s="78"/>
      <c r="L235" s="78"/>
    </row>
    <row r="236" spans="1:12" s="20" customFormat="1" ht="45.75">
      <c r="A236" s="14"/>
      <c r="B236" s="14">
        <v>150101</v>
      </c>
      <c r="C236" s="166" t="s">
        <v>114</v>
      </c>
      <c r="D236" s="15" t="s">
        <v>511</v>
      </c>
      <c r="E236" s="15" t="s">
        <v>461</v>
      </c>
      <c r="F236" s="17">
        <v>219013</v>
      </c>
      <c r="G236" s="18">
        <f t="shared" si="3"/>
        <v>0</v>
      </c>
      <c r="H236" s="17">
        <v>219013</v>
      </c>
      <c r="I236" s="17">
        <v>219013</v>
      </c>
      <c r="J236" s="78"/>
      <c r="L236" s="78"/>
    </row>
    <row r="237" spans="1:12" s="20" customFormat="1" ht="60.75">
      <c r="A237" s="14"/>
      <c r="B237" s="14">
        <v>150101</v>
      </c>
      <c r="C237" s="166" t="s">
        <v>114</v>
      </c>
      <c r="D237" s="15" t="s">
        <v>511</v>
      </c>
      <c r="E237" s="15" t="s">
        <v>466</v>
      </c>
      <c r="F237" s="17">
        <v>147134</v>
      </c>
      <c r="G237" s="18">
        <f t="shared" si="3"/>
        <v>0</v>
      </c>
      <c r="H237" s="17">
        <v>147134</v>
      </c>
      <c r="I237" s="17">
        <v>147134</v>
      </c>
      <c r="J237" s="78"/>
      <c r="L237" s="78"/>
    </row>
    <row r="238" spans="1:12" s="20" customFormat="1" ht="45.75">
      <c r="A238" s="14"/>
      <c r="B238" s="14">
        <v>150101</v>
      </c>
      <c r="C238" s="166" t="s">
        <v>114</v>
      </c>
      <c r="D238" s="15" t="s">
        <v>511</v>
      </c>
      <c r="E238" s="15" t="s">
        <v>480</v>
      </c>
      <c r="F238" s="17">
        <v>39509</v>
      </c>
      <c r="G238" s="18">
        <f t="shared" si="3"/>
        <v>0</v>
      </c>
      <c r="H238" s="17">
        <v>39509</v>
      </c>
      <c r="I238" s="17">
        <v>39509</v>
      </c>
      <c r="J238" s="78"/>
      <c r="L238" s="78"/>
    </row>
    <row r="239" spans="1:12" s="20" customFormat="1" ht="45.75">
      <c r="A239" s="14"/>
      <c r="B239" s="14">
        <v>150101</v>
      </c>
      <c r="C239" s="166" t="s">
        <v>114</v>
      </c>
      <c r="D239" s="15" t="s">
        <v>511</v>
      </c>
      <c r="E239" s="15" t="s">
        <v>481</v>
      </c>
      <c r="F239" s="17">
        <v>37844</v>
      </c>
      <c r="G239" s="18">
        <f t="shared" si="3"/>
        <v>19.569812916182215</v>
      </c>
      <c r="H239" s="17">
        <v>30438</v>
      </c>
      <c r="I239" s="17">
        <v>30438</v>
      </c>
      <c r="J239" s="78"/>
      <c r="L239" s="78"/>
    </row>
    <row r="240" spans="1:12" s="20" customFormat="1" ht="60.75">
      <c r="A240" s="14"/>
      <c r="B240" s="14">
        <v>150101</v>
      </c>
      <c r="C240" s="166" t="s">
        <v>114</v>
      </c>
      <c r="D240" s="15" t="s">
        <v>511</v>
      </c>
      <c r="E240" s="92" t="s">
        <v>111</v>
      </c>
      <c r="F240" s="17">
        <v>1307928</v>
      </c>
      <c r="G240" s="18">
        <f t="shared" si="3"/>
        <v>1.7711219577836061</v>
      </c>
      <c r="H240" s="17">
        <v>1284763</v>
      </c>
      <c r="I240" s="17">
        <f>1125012+159751</f>
        <v>1284763</v>
      </c>
      <c r="J240" s="78"/>
      <c r="L240" s="78"/>
    </row>
    <row r="241" spans="1:12" s="20" customFormat="1" ht="45.75">
      <c r="A241" s="14"/>
      <c r="B241" s="14">
        <v>150101</v>
      </c>
      <c r="C241" s="166" t="s">
        <v>114</v>
      </c>
      <c r="D241" s="15" t="s">
        <v>511</v>
      </c>
      <c r="E241" s="92" t="s">
        <v>112</v>
      </c>
      <c r="F241" s="17">
        <v>572185</v>
      </c>
      <c r="G241" s="18">
        <f t="shared" si="3"/>
        <v>3.591670526141016</v>
      </c>
      <c r="H241" s="17">
        <f>447334+104300</f>
        <v>551634</v>
      </c>
      <c r="I241" s="17">
        <f>447334+104300</f>
        <v>551634</v>
      </c>
      <c r="J241" s="78"/>
      <c r="L241" s="78"/>
    </row>
    <row r="242" spans="1:12" s="20" customFormat="1" ht="60.75">
      <c r="A242" s="14"/>
      <c r="B242" s="14">
        <v>150101</v>
      </c>
      <c r="C242" s="166" t="s">
        <v>114</v>
      </c>
      <c r="D242" s="15" t="s">
        <v>511</v>
      </c>
      <c r="E242" s="15" t="s">
        <v>482</v>
      </c>
      <c r="F242" s="17">
        <v>79883</v>
      </c>
      <c r="G242" s="18">
        <f t="shared" si="3"/>
        <v>0</v>
      </c>
      <c r="H242" s="17">
        <v>79883</v>
      </c>
      <c r="I242" s="17">
        <v>79883</v>
      </c>
      <c r="J242" s="78"/>
      <c r="L242" s="78"/>
    </row>
    <row r="243" spans="1:12" s="20" customFormat="1" ht="45.75">
      <c r="A243" s="14"/>
      <c r="B243" s="14">
        <v>150101</v>
      </c>
      <c r="C243" s="166" t="s">
        <v>114</v>
      </c>
      <c r="D243" s="15" t="s">
        <v>511</v>
      </c>
      <c r="E243" s="15" t="s">
        <v>483</v>
      </c>
      <c r="F243" s="17">
        <v>36080</v>
      </c>
      <c r="G243" s="18">
        <f t="shared" si="3"/>
        <v>0</v>
      </c>
      <c r="H243" s="17">
        <v>36080</v>
      </c>
      <c r="I243" s="17">
        <v>36080</v>
      </c>
      <c r="J243" s="78"/>
      <c r="L243" s="78"/>
    </row>
    <row r="244" spans="1:12" s="20" customFormat="1" ht="45.75">
      <c r="A244" s="14"/>
      <c r="B244" s="14">
        <v>150101</v>
      </c>
      <c r="C244" s="166" t="s">
        <v>114</v>
      </c>
      <c r="D244" s="15" t="s">
        <v>511</v>
      </c>
      <c r="E244" s="15" t="s">
        <v>484</v>
      </c>
      <c r="F244" s="17">
        <v>17708</v>
      </c>
      <c r="G244" s="18">
        <f t="shared" si="3"/>
        <v>42.30291393720352</v>
      </c>
      <c r="H244" s="17">
        <v>10217</v>
      </c>
      <c r="I244" s="17">
        <v>10217</v>
      </c>
      <c r="J244" s="78"/>
      <c r="L244" s="78"/>
    </row>
    <row r="245" spans="1:12" s="20" customFormat="1" ht="45.75">
      <c r="A245" s="14"/>
      <c r="B245" s="14">
        <v>150101</v>
      </c>
      <c r="C245" s="166" t="s">
        <v>114</v>
      </c>
      <c r="D245" s="15" t="s">
        <v>511</v>
      </c>
      <c r="E245" s="92" t="s">
        <v>187</v>
      </c>
      <c r="F245" s="17">
        <v>26130</v>
      </c>
      <c r="G245" s="18">
        <f t="shared" si="3"/>
        <v>28.668197474167627</v>
      </c>
      <c r="H245" s="17">
        <v>18639</v>
      </c>
      <c r="I245" s="17">
        <v>18639</v>
      </c>
      <c r="J245" s="78"/>
      <c r="L245" s="78"/>
    </row>
    <row r="246" spans="1:12" s="20" customFormat="1" ht="45.75">
      <c r="A246" s="14"/>
      <c r="B246" s="14">
        <v>150101</v>
      </c>
      <c r="C246" s="166" t="s">
        <v>114</v>
      </c>
      <c r="D246" s="15" t="s">
        <v>511</v>
      </c>
      <c r="E246" s="92" t="s">
        <v>101</v>
      </c>
      <c r="F246" s="17">
        <v>26291</v>
      </c>
      <c r="G246" s="18">
        <f t="shared" si="3"/>
        <v>28.492640066943068</v>
      </c>
      <c r="H246" s="17">
        <v>18800</v>
      </c>
      <c r="I246" s="17">
        <v>18800</v>
      </c>
      <c r="J246" s="78"/>
      <c r="L246" s="78"/>
    </row>
    <row r="247" spans="1:12" s="20" customFormat="1" ht="60.75">
      <c r="A247" s="14"/>
      <c r="B247" s="14">
        <v>150101</v>
      </c>
      <c r="C247" s="166" t="s">
        <v>114</v>
      </c>
      <c r="D247" s="15" t="s">
        <v>511</v>
      </c>
      <c r="E247" s="92" t="s">
        <v>102</v>
      </c>
      <c r="F247" s="17">
        <v>15428</v>
      </c>
      <c r="G247" s="18">
        <f t="shared" si="3"/>
        <v>48.55457609541094</v>
      </c>
      <c r="H247" s="17">
        <v>7937</v>
      </c>
      <c r="I247" s="17">
        <v>7937</v>
      </c>
      <c r="J247" s="78"/>
      <c r="L247" s="78"/>
    </row>
    <row r="248" spans="1:12" s="157" customFormat="1" ht="45.75">
      <c r="A248" s="151"/>
      <c r="B248" s="151">
        <v>150101</v>
      </c>
      <c r="C248" s="166" t="s">
        <v>114</v>
      </c>
      <c r="D248" s="152" t="s">
        <v>511</v>
      </c>
      <c r="E248" s="153" t="s">
        <v>148</v>
      </c>
      <c r="F248" s="154">
        <f>9520+3506</f>
        <v>13026</v>
      </c>
      <c r="G248" s="155">
        <f t="shared" si="3"/>
        <v>0</v>
      </c>
      <c r="H248" s="154">
        <f>9520+3506</f>
        <v>13026</v>
      </c>
      <c r="I248" s="154">
        <f>9520+3506</f>
        <v>13026</v>
      </c>
      <c r="J248" s="156"/>
      <c r="L248" s="156"/>
    </row>
    <row r="249" spans="1:12" s="20" customFormat="1" ht="30.75">
      <c r="A249" s="14"/>
      <c r="B249" s="14">
        <v>150101</v>
      </c>
      <c r="C249" s="166" t="s">
        <v>114</v>
      </c>
      <c r="D249" s="15" t="s">
        <v>511</v>
      </c>
      <c r="E249" s="92" t="s">
        <v>59</v>
      </c>
      <c r="F249" s="17">
        <v>321139</v>
      </c>
      <c r="G249" s="18">
        <f t="shared" si="3"/>
        <v>0</v>
      </c>
      <c r="H249" s="17">
        <v>321139</v>
      </c>
      <c r="I249" s="17">
        <v>321139</v>
      </c>
      <c r="J249" s="78"/>
      <c r="L249" s="78"/>
    </row>
    <row r="250" spans="1:12" s="20" customFormat="1" ht="30.75">
      <c r="A250" s="14"/>
      <c r="B250" s="14">
        <v>150101</v>
      </c>
      <c r="C250" s="166" t="s">
        <v>114</v>
      </c>
      <c r="D250" s="15" t="s">
        <v>511</v>
      </c>
      <c r="E250" s="92" t="s">
        <v>144</v>
      </c>
      <c r="F250" s="17">
        <v>408598</v>
      </c>
      <c r="G250" s="18">
        <f t="shared" si="3"/>
        <v>0</v>
      </c>
      <c r="H250" s="17">
        <v>408598</v>
      </c>
      <c r="I250" s="17">
        <f>408598-268656-1</f>
        <v>139941</v>
      </c>
      <c r="J250" s="78"/>
      <c r="L250" s="78"/>
    </row>
    <row r="251" spans="1:12" s="20" customFormat="1" ht="30.75">
      <c r="A251" s="14"/>
      <c r="B251" s="14">
        <v>150101</v>
      </c>
      <c r="C251" s="166" t="s">
        <v>114</v>
      </c>
      <c r="D251" s="15" t="s">
        <v>511</v>
      </c>
      <c r="E251" s="92" t="s">
        <v>60</v>
      </c>
      <c r="F251" s="17">
        <v>189019</v>
      </c>
      <c r="G251" s="18">
        <f t="shared" si="3"/>
        <v>0</v>
      </c>
      <c r="H251" s="17">
        <v>189019</v>
      </c>
      <c r="I251" s="17">
        <v>189019</v>
      </c>
      <c r="J251" s="78"/>
      <c r="L251" s="78"/>
    </row>
    <row r="252" spans="1:12" s="20" customFormat="1" ht="30.75">
      <c r="A252" s="14"/>
      <c r="B252" s="14">
        <v>150101</v>
      </c>
      <c r="C252" s="166" t="s">
        <v>114</v>
      </c>
      <c r="D252" s="15" t="s">
        <v>511</v>
      </c>
      <c r="E252" s="92" t="s">
        <v>61</v>
      </c>
      <c r="F252" s="17">
        <v>323365</v>
      </c>
      <c r="G252" s="18">
        <f t="shared" si="3"/>
        <v>0</v>
      </c>
      <c r="H252" s="17">
        <v>323365</v>
      </c>
      <c r="I252" s="17">
        <v>323365</v>
      </c>
      <c r="J252" s="78"/>
      <c r="L252" s="78"/>
    </row>
    <row r="253" spans="1:12" s="20" customFormat="1" ht="30.75">
      <c r="A253" s="14"/>
      <c r="B253" s="14">
        <v>150101</v>
      </c>
      <c r="C253" s="166" t="s">
        <v>114</v>
      </c>
      <c r="D253" s="15" t="s">
        <v>511</v>
      </c>
      <c r="E253" s="92" t="s">
        <v>62</v>
      </c>
      <c r="F253" s="17">
        <v>121162</v>
      </c>
      <c r="G253" s="18">
        <f t="shared" si="3"/>
        <v>0</v>
      </c>
      <c r="H253" s="17">
        <v>121162</v>
      </c>
      <c r="I253" s="17">
        <v>121162</v>
      </c>
      <c r="J253" s="78"/>
      <c r="L253" s="78"/>
    </row>
    <row r="254" spans="1:12" s="20" customFormat="1" ht="30.75">
      <c r="A254" s="14"/>
      <c r="B254" s="14">
        <v>150101</v>
      </c>
      <c r="C254" s="166" t="s">
        <v>114</v>
      </c>
      <c r="D254" s="15" t="s">
        <v>511</v>
      </c>
      <c r="E254" s="92" t="s">
        <v>63</v>
      </c>
      <c r="F254" s="17">
        <v>168367</v>
      </c>
      <c r="G254" s="18">
        <f t="shared" si="3"/>
        <v>0</v>
      </c>
      <c r="H254" s="17">
        <v>168367</v>
      </c>
      <c r="I254" s="17">
        <v>168367</v>
      </c>
      <c r="J254" s="78"/>
      <c r="L254" s="78"/>
    </row>
    <row r="255" spans="1:12" s="20" customFormat="1" ht="30.75">
      <c r="A255" s="14"/>
      <c r="B255" s="14">
        <v>150101</v>
      </c>
      <c r="C255" s="166" t="s">
        <v>114</v>
      </c>
      <c r="D255" s="15" t="s">
        <v>511</v>
      </c>
      <c r="E255" s="92" t="s">
        <v>64</v>
      </c>
      <c r="F255" s="17">
        <v>65604</v>
      </c>
      <c r="G255" s="18">
        <f t="shared" si="3"/>
        <v>0</v>
      </c>
      <c r="H255" s="17">
        <v>65604</v>
      </c>
      <c r="I255" s="17">
        <v>65604</v>
      </c>
      <c r="J255" s="78"/>
      <c r="L255" s="78"/>
    </row>
    <row r="256" spans="1:12" s="20" customFormat="1" ht="30.75">
      <c r="A256" s="14"/>
      <c r="B256" s="14">
        <v>150101</v>
      </c>
      <c r="C256" s="166" t="s">
        <v>114</v>
      </c>
      <c r="D256" s="15" t="s">
        <v>511</v>
      </c>
      <c r="E256" s="92" t="s">
        <v>65</v>
      </c>
      <c r="F256" s="17">
        <v>75684</v>
      </c>
      <c r="G256" s="18">
        <f t="shared" si="3"/>
        <v>0</v>
      </c>
      <c r="H256" s="17">
        <v>75684</v>
      </c>
      <c r="I256" s="17">
        <v>75684</v>
      </c>
      <c r="J256" s="78"/>
      <c r="L256" s="78"/>
    </row>
    <row r="257" spans="1:12" s="20" customFormat="1" ht="30.75">
      <c r="A257" s="14"/>
      <c r="B257" s="14">
        <v>150101</v>
      </c>
      <c r="C257" s="166" t="s">
        <v>114</v>
      </c>
      <c r="D257" s="15" t="s">
        <v>511</v>
      </c>
      <c r="E257" s="92" t="s">
        <v>66</v>
      </c>
      <c r="F257" s="17">
        <v>166619</v>
      </c>
      <c r="G257" s="18">
        <f t="shared" si="3"/>
        <v>0</v>
      </c>
      <c r="H257" s="17">
        <v>166619</v>
      </c>
      <c r="I257" s="17">
        <v>166619</v>
      </c>
      <c r="J257" s="78"/>
      <c r="L257" s="78"/>
    </row>
    <row r="258" spans="1:12" s="20" customFormat="1" ht="30.75">
      <c r="A258" s="14"/>
      <c r="B258" s="14">
        <v>150101</v>
      </c>
      <c r="C258" s="166" t="s">
        <v>114</v>
      </c>
      <c r="D258" s="15" t="s">
        <v>511</v>
      </c>
      <c r="E258" s="92" t="s">
        <v>67</v>
      </c>
      <c r="F258" s="17">
        <v>253512</v>
      </c>
      <c r="G258" s="18">
        <f t="shared" si="3"/>
        <v>0</v>
      </c>
      <c r="H258" s="17">
        <v>253512</v>
      </c>
      <c r="I258" s="17">
        <v>253512</v>
      </c>
      <c r="J258" s="78"/>
      <c r="L258" s="78"/>
    </row>
    <row r="259" spans="1:12" s="20" customFormat="1" ht="30.75">
      <c r="A259" s="14"/>
      <c r="B259" s="14">
        <v>150101</v>
      </c>
      <c r="C259" s="166" t="s">
        <v>114</v>
      </c>
      <c r="D259" s="15" t="s">
        <v>511</v>
      </c>
      <c r="E259" s="92" t="s">
        <v>68</v>
      </c>
      <c r="F259" s="17">
        <v>110874</v>
      </c>
      <c r="G259" s="18">
        <f t="shared" si="3"/>
        <v>0</v>
      </c>
      <c r="H259" s="17">
        <v>110874</v>
      </c>
      <c r="I259" s="17">
        <v>110874</v>
      </c>
      <c r="J259" s="78"/>
      <c r="L259" s="78"/>
    </row>
    <row r="260" spans="1:12" s="20" customFormat="1" ht="45.75">
      <c r="A260" s="14"/>
      <c r="B260" s="14">
        <v>150101</v>
      </c>
      <c r="C260" s="166" t="s">
        <v>114</v>
      </c>
      <c r="D260" s="15" t="s">
        <v>511</v>
      </c>
      <c r="E260" s="92" t="s">
        <v>169</v>
      </c>
      <c r="F260" s="17">
        <v>75281</v>
      </c>
      <c r="G260" s="18">
        <f t="shared" si="3"/>
        <v>0</v>
      </c>
      <c r="H260" s="17">
        <v>75281</v>
      </c>
      <c r="I260" s="17">
        <v>75281</v>
      </c>
      <c r="J260" s="78"/>
      <c r="L260" s="78"/>
    </row>
    <row r="261" spans="1:12" s="20" customFormat="1" ht="45.75" hidden="1">
      <c r="A261" s="14"/>
      <c r="B261" s="14">
        <v>150101</v>
      </c>
      <c r="C261" s="166" t="s">
        <v>114</v>
      </c>
      <c r="D261" s="15" t="s">
        <v>511</v>
      </c>
      <c r="E261" s="92" t="s">
        <v>170</v>
      </c>
      <c r="F261" s="17"/>
      <c r="G261" s="18"/>
      <c r="H261" s="17"/>
      <c r="I261" s="17">
        <f>58415-58415</f>
        <v>0</v>
      </c>
      <c r="J261" s="78"/>
      <c r="L261" s="78"/>
    </row>
    <row r="262" spans="1:12" s="20" customFormat="1" ht="45.75">
      <c r="A262" s="14"/>
      <c r="B262" s="14">
        <v>150101</v>
      </c>
      <c r="C262" s="166" t="s">
        <v>114</v>
      </c>
      <c r="D262" s="15" t="s">
        <v>511</v>
      </c>
      <c r="E262" s="92" t="s">
        <v>166</v>
      </c>
      <c r="F262" s="17">
        <v>67945</v>
      </c>
      <c r="G262" s="18">
        <f t="shared" si="3"/>
        <v>0</v>
      </c>
      <c r="H262" s="17">
        <v>67945</v>
      </c>
      <c r="I262" s="17">
        <v>67945</v>
      </c>
      <c r="J262" s="78"/>
      <c r="L262" s="78"/>
    </row>
    <row r="263" spans="1:12" s="20" customFormat="1" ht="45.75">
      <c r="A263" s="14"/>
      <c r="B263" s="14">
        <v>150101</v>
      </c>
      <c r="C263" s="166" t="s">
        <v>114</v>
      </c>
      <c r="D263" s="15" t="s">
        <v>511</v>
      </c>
      <c r="E263" s="92" t="s">
        <v>69</v>
      </c>
      <c r="F263" s="17">
        <v>48143</v>
      </c>
      <c r="G263" s="18">
        <f t="shared" si="3"/>
        <v>0</v>
      </c>
      <c r="H263" s="17">
        <v>48143</v>
      </c>
      <c r="I263" s="17">
        <v>48143</v>
      </c>
      <c r="J263" s="78"/>
      <c r="L263" s="78"/>
    </row>
    <row r="264" spans="1:12" s="20" customFormat="1" ht="45.75">
      <c r="A264" s="14"/>
      <c r="B264" s="14">
        <v>150101</v>
      </c>
      <c r="C264" s="166" t="s">
        <v>114</v>
      </c>
      <c r="D264" s="15" t="s">
        <v>511</v>
      </c>
      <c r="E264" s="92" t="s">
        <v>70</v>
      </c>
      <c r="F264" s="17">
        <v>201395</v>
      </c>
      <c r="G264" s="18">
        <f t="shared" si="3"/>
        <v>0</v>
      </c>
      <c r="H264" s="17">
        <v>201395</v>
      </c>
      <c r="I264" s="17">
        <v>201395</v>
      </c>
      <c r="J264" s="78"/>
      <c r="L264" s="78"/>
    </row>
    <row r="265" spans="1:12" s="20" customFormat="1" ht="45.75">
      <c r="A265" s="14"/>
      <c r="B265" s="14">
        <v>150101</v>
      </c>
      <c r="C265" s="166" t="s">
        <v>114</v>
      </c>
      <c r="D265" s="15" t="s">
        <v>511</v>
      </c>
      <c r="E265" s="92" t="s">
        <v>171</v>
      </c>
      <c r="F265" s="17">
        <v>445956</v>
      </c>
      <c r="G265" s="18">
        <f t="shared" si="3"/>
        <v>0</v>
      </c>
      <c r="H265" s="17">
        <v>445956</v>
      </c>
      <c r="I265" s="17">
        <v>445956</v>
      </c>
      <c r="J265" s="78"/>
      <c r="L265" s="78"/>
    </row>
    <row r="266" spans="1:12" s="20" customFormat="1" ht="45.75">
      <c r="A266" s="14"/>
      <c r="B266" s="14">
        <v>150101</v>
      </c>
      <c r="C266" s="166" t="s">
        <v>114</v>
      </c>
      <c r="D266" s="15" t="s">
        <v>511</v>
      </c>
      <c r="E266" s="92" t="s">
        <v>71</v>
      </c>
      <c r="F266" s="17">
        <v>53694</v>
      </c>
      <c r="G266" s="18">
        <f t="shared" si="3"/>
        <v>0</v>
      </c>
      <c r="H266" s="17">
        <v>53694</v>
      </c>
      <c r="I266" s="17">
        <v>53694</v>
      </c>
      <c r="J266" s="78"/>
      <c r="L266" s="78"/>
    </row>
    <row r="267" spans="1:12" s="20" customFormat="1" ht="30.75">
      <c r="A267" s="14"/>
      <c r="B267" s="14">
        <v>150101</v>
      </c>
      <c r="C267" s="166" t="s">
        <v>114</v>
      </c>
      <c r="D267" s="15" t="s">
        <v>511</v>
      </c>
      <c r="E267" s="92" t="s">
        <v>72</v>
      </c>
      <c r="F267" s="17">
        <v>181624</v>
      </c>
      <c r="G267" s="18">
        <f t="shared" si="3"/>
        <v>0</v>
      </c>
      <c r="H267" s="17">
        <v>181624</v>
      </c>
      <c r="I267" s="17">
        <v>181624</v>
      </c>
      <c r="J267" s="78"/>
      <c r="L267" s="78"/>
    </row>
    <row r="268" spans="1:12" s="20" customFormat="1" ht="30.75">
      <c r="A268" s="14"/>
      <c r="B268" s="14">
        <v>150101</v>
      </c>
      <c r="C268" s="166" t="s">
        <v>114</v>
      </c>
      <c r="D268" s="15" t="s">
        <v>511</v>
      </c>
      <c r="E268" s="92" t="s">
        <v>172</v>
      </c>
      <c r="F268" s="17">
        <v>90420</v>
      </c>
      <c r="G268" s="18">
        <f t="shared" si="3"/>
        <v>0</v>
      </c>
      <c r="H268" s="17">
        <v>90420</v>
      </c>
      <c r="I268" s="17">
        <v>90420</v>
      </c>
      <c r="J268" s="78"/>
      <c r="L268" s="78"/>
    </row>
    <row r="269" spans="1:12" s="20" customFormat="1" ht="30.75">
      <c r="A269" s="14"/>
      <c r="B269" s="14">
        <v>150101</v>
      </c>
      <c r="C269" s="166" t="s">
        <v>114</v>
      </c>
      <c r="D269" s="15" t="s">
        <v>511</v>
      </c>
      <c r="E269" s="15" t="s">
        <v>488</v>
      </c>
      <c r="F269" s="17">
        <v>9520</v>
      </c>
      <c r="G269" s="18">
        <f aca="true" t="shared" si="4" ref="G269:G336">100-(H269/F269)*100</f>
        <v>0</v>
      </c>
      <c r="H269" s="17">
        <v>9520</v>
      </c>
      <c r="I269" s="17">
        <v>9520</v>
      </c>
      <c r="J269" s="78"/>
      <c r="L269" s="78"/>
    </row>
    <row r="270" spans="1:12" s="20" customFormat="1" ht="46.5" customHeight="1">
      <c r="A270" s="14"/>
      <c r="B270" s="14">
        <v>150101</v>
      </c>
      <c r="C270" s="166" t="s">
        <v>114</v>
      </c>
      <c r="D270" s="15" t="s">
        <v>511</v>
      </c>
      <c r="E270" s="15" t="s">
        <v>489</v>
      </c>
      <c r="F270" s="17">
        <v>9520</v>
      </c>
      <c r="G270" s="18">
        <f t="shared" si="4"/>
        <v>0</v>
      </c>
      <c r="H270" s="17">
        <v>9520</v>
      </c>
      <c r="I270" s="17">
        <v>9520</v>
      </c>
      <c r="J270" s="78"/>
      <c r="L270" s="78"/>
    </row>
    <row r="271" spans="1:12" s="20" customFormat="1" ht="45.75">
      <c r="A271" s="14"/>
      <c r="B271" s="14">
        <v>150101</v>
      </c>
      <c r="C271" s="166" t="s">
        <v>114</v>
      </c>
      <c r="D271" s="15" t="s">
        <v>511</v>
      </c>
      <c r="E271" s="15" t="s">
        <v>490</v>
      </c>
      <c r="F271" s="17">
        <v>9520</v>
      </c>
      <c r="G271" s="18">
        <f t="shared" si="4"/>
        <v>0</v>
      </c>
      <c r="H271" s="17">
        <v>9520</v>
      </c>
      <c r="I271" s="17">
        <v>9520</v>
      </c>
      <c r="J271" s="78"/>
      <c r="L271" s="78"/>
    </row>
    <row r="272" spans="1:12" s="20" customFormat="1" ht="45.75">
      <c r="A272" s="14"/>
      <c r="B272" s="14">
        <v>150101</v>
      </c>
      <c r="C272" s="166" t="s">
        <v>114</v>
      </c>
      <c r="D272" s="15" t="s">
        <v>511</v>
      </c>
      <c r="E272" s="15" t="s">
        <v>491</v>
      </c>
      <c r="F272" s="17">
        <v>125555</v>
      </c>
      <c r="G272" s="18">
        <f t="shared" si="4"/>
        <v>7.827645255067509</v>
      </c>
      <c r="H272" s="85">
        <f>115727</f>
        <v>115727</v>
      </c>
      <c r="I272" s="85">
        <f>115727</f>
        <v>115727</v>
      </c>
      <c r="J272" s="78"/>
      <c r="L272" s="78"/>
    </row>
    <row r="273" spans="1:12" s="20" customFormat="1" ht="45.75">
      <c r="A273" s="14"/>
      <c r="B273" s="14">
        <v>150101</v>
      </c>
      <c r="C273" s="166" t="s">
        <v>114</v>
      </c>
      <c r="D273" s="15" t="s">
        <v>511</v>
      </c>
      <c r="E273" s="15" t="s">
        <v>423</v>
      </c>
      <c r="F273" s="17">
        <v>63184</v>
      </c>
      <c r="G273" s="18">
        <f t="shared" si="4"/>
        <v>0</v>
      </c>
      <c r="H273" s="17">
        <v>63184</v>
      </c>
      <c r="I273" s="85">
        <v>63184</v>
      </c>
      <c r="J273" s="78"/>
      <c r="L273" s="78"/>
    </row>
    <row r="274" spans="1:12" s="20" customFormat="1" ht="45.75">
      <c r="A274" s="14"/>
      <c r="B274" s="14">
        <v>150101</v>
      </c>
      <c r="C274" s="166" t="s">
        <v>114</v>
      </c>
      <c r="D274" s="15" t="s">
        <v>511</v>
      </c>
      <c r="E274" s="15" t="s">
        <v>424</v>
      </c>
      <c r="F274" s="17">
        <v>77509</v>
      </c>
      <c r="G274" s="18">
        <f t="shared" si="4"/>
        <v>0</v>
      </c>
      <c r="H274" s="17">
        <v>77509</v>
      </c>
      <c r="I274" s="85">
        <v>77509</v>
      </c>
      <c r="J274" s="78"/>
      <c r="L274" s="78"/>
    </row>
    <row r="275" spans="1:12" s="20" customFormat="1" ht="45.75">
      <c r="A275" s="14"/>
      <c r="B275" s="14">
        <v>150101</v>
      </c>
      <c r="C275" s="166" t="s">
        <v>114</v>
      </c>
      <c r="D275" s="15" t="s">
        <v>511</v>
      </c>
      <c r="E275" s="15" t="s">
        <v>425</v>
      </c>
      <c r="F275" s="17">
        <v>88532</v>
      </c>
      <c r="G275" s="18">
        <f t="shared" si="4"/>
        <v>6.683459088239289</v>
      </c>
      <c r="H275" s="17">
        <v>82615</v>
      </c>
      <c r="I275" s="85">
        <v>82615</v>
      </c>
      <c r="J275" s="78"/>
      <c r="L275" s="78"/>
    </row>
    <row r="276" spans="1:12" s="20" customFormat="1" ht="45.75">
      <c r="A276" s="14"/>
      <c r="B276" s="14">
        <v>150101</v>
      </c>
      <c r="C276" s="166" t="s">
        <v>114</v>
      </c>
      <c r="D276" s="15" t="s">
        <v>511</v>
      </c>
      <c r="E276" s="92" t="s">
        <v>188</v>
      </c>
      <c r="F276" s="17">
        <v>160274</v>
      </c>
      <c r="G276" s="18">
        <f t="shared" si="4"/>
        <v>0</v>
      </c>
      <c r="H276" s="17">
        <v>160274</v>
      </c>
      <c r="I276" s="85">
        <v>160274</v>
      </c>
      <c r="J276" s="78"/>
      <c r="L276" s="78"/>
    </row>
    <row r="277" spans="1:12" s="20" customFormat="1" ht="45.75">
      <c r="A277" s="14"/>
      <c r="B277" s="14">
        <v>150101</v>
      </c>
      <c r="C277" s="166" t="s">
        <v>114</v>
      </c>
      <c r="D277" s="15" t="s">
        <v>511</v>
      </c>
      <c r="E277" s="15" t="s">
        <v>492</v>
      </c>
      <c r="F277" s="17">
        <v>122141</v>
      </c>
      <c r="G277" s="18">
        <f t="shared" si="4"/>
        <v>4.648725653138584</v>
      </c>
      <c r="H277" s="85">
        <v>116463</v>
      </c>
      <c r="I277" s="85">
        <v>116463</v>
      </c>
      <c r="J277" s="78"/>
      <c r="L277" s="78"/>
    </row>
    <row r="278" spans="1:12" s="20" customFormat="1" ht="30.75">
      <c r="A278" s="14"/>
      <c r="B278" s="14">
        <v>150101</v>
      </c>
      <c r="C278" s="166" t="s">
        <v>114</v>
      </c>
      <c r="D278" s="15" t="s">
        <v>511</v>
      </c>
      <c r="E278" s="15" t="s">
        <v>493</v>
      </c>
      <c r="F278" s="17">
        <f>88776+34810</f>
        <v>123586</v>
      </c>
      <c r="G278" s="18">
        <f t="shared" si="4"/>
        <v>5.100901396598317</v>
      </c>
      <c r="H278" s="85">
        <f>82471+34810+1</f>
        <v>117282</v>
      </c>
      <c r="I278" s="85">
        <f>82471+34810+1</f>
        <v>117282</v>
      </c>
      <c r="J278" s="78"/>
      <c r="L278" s="78"/>
    </row>
    <row r="279" spans="1:12" s="20" customFormat="1" ht="30.75">
      <c r="A279" s="14"/>
      <c r="B279" s="14">
        <v>150101</v>
      </c>
      <c r="C279" s="166" t="s">
        <v>114</v>
      </c>
      <c r="D279" s="15" t="s">
        <v>511</v>
      </c>
      <c r="E279" s="15" t="s">
        <v>494</v>
      </c>
      <c r="F279" s="17">
        <v>56336</v>
      </c>
      <c r="G279" s="18">
        <f t="shared" si="4"/>
        <v>0</v>
      </c>
      <c r="H279" s="17">
        <v>56336</v>
      </c>
      <c r="I279" s="17">
        <v>56336</v>
      </c>
      <c r="J279" s="78"/>
      <c r="L279" s="78"/>
    </row>
    <row r="280" spans="1:12" s="20" customFormat="1" ht="30.75">
      <c r="A280" s="14"/>
      <c r="B280" s="14">
        <v>150101</v>
      </c>
      <c r="C280" s="166" t="s">
        <v>114</v>
      </c>
      <c r="D280" s="15" t="s">
        <v>511</v>
      </c>
      <c r="E280" s="15" t="s">
        <v>495</v>
      </c>
      <c r="F280" s="17">
        <v>105436</v>
      </c>
      <c r="G280" s="18">
        <f t="shared" si="4"/>
        <v>0</v>
      </c>
      <c r="H280" s="17">
        <v>105436</v>
      </c>
      <c r="I280" s="17">
        <f>105436-58922</f>
        <v>46514</v>
      </c>
      <c r="J280" s="78"/>
      <c r="L280" s="78"/>
    </row>
    <row r="281" spans="1:12" s="20" customFormat="1" ht="45.75">
      <c r="A281" s="14"/>
      <c r="B281" s="14">
        <v>150101</v>
      </c>
      <c r="C281" s="166" t="s">
        <v>114</v>
      </c>
      <c r="D281" s="15" t="s">
        <v>511</v>
      </c>
      <c r="E281" s="15" t="s">
        <v>427</v>
      </c>
      <c r="F281" s="17">
        <v>149866</v>
      </c>
      <c r="G281" s="18">
        <f t="shared" si="4"/>
        <v>0</v>
      </c>
      <c r="H281" s="17">
        <v>149866</v>
      </c>
      <c r="I281" s="17">
        <v>149866</v>
      </c>
      <c r="J281" s="78"/>
      <c r="L281" s="78"/>
    </row>
    <row r="282" spans="1:12" s="20" customFormat="1" ht="45.75">
      <c r="A282" s="14"/>
      <c r="B282" s="14">
        <v>150101</v>
      </c>
      <c r="C282" s="166" t="s">
        <v>114</v>
      </c>
      <c r="D282" s="15" t="s">
        <v>511</v>
      </c>
      <c r="E282" s="15" t="s">
        <v>428</v>
      </c>
      <c r="F282" s="17">
        <v>148245</v>
      </c>
      <c r="G282" s="18">
        <f t="shared" si="4"/>
        <v>0</v>
      </c>
      <c r="H282" s="17">
        <v>148245</v>
      </c>
      <c r="I282" s="85">
        <v>148245</v>
      </c>
      <c r="J282" s="78"/>
      <c r="L282" s="78"/>
    </row>
    <row r="283" spans="1:12" s="20" customFormat="1" ht="45.75">
      <c r="A283" s="14"/>
      <c r="B283" s="14">
        <v>150101</v>
      </c>
      <c r="C283" s="166" t="s">
        <v>114</v>
      </c>
      <c r="D283" s="15" t="s">
        <v>511</v>
      </c>
      <c r="E283" s="15" t="s">
        <v>496</v>
      </c>
      <c r="F283" s="17">
        <v>167460</v>
      </c>
      <c r="G283" s="18">
        <f t="shared" si="4"/>
        <v>0</v>
      </c>
      <c r="H283" s="17">
        <v>167460</v>
      </c>
      <c r="I283" s="85">
        <v>167460</v>
      </c>
      <c r="J283" s="78"/>
      <c r="L283" s="78"/>
    </row>
    <row r="284" spans="1:12" s="20" customFormat="1" ht="45.75">
      <c r="A284" s="14"/>
      <c r="B284" s="14">
        <v>150101</v>
      </c>
      <c r="C284" s="166" t="s">
        <v>114</v>
      </c>
      <c r="D284" s="15" t="s">
        <v>511</v>
      </c>
      <c r="E284" s="92" t="s">
        <v>149</v>
      </c>
      <c r="F284" s="17">
        <v>67493</v>
      </c>
      <c r="G284" s="18">
        <f t="shared" si="4"/>
        <v>0</v>
      </c>
      <c r="H284" s="17">
        <v>67493</v>
      </c>
      <c r="I284" s="17">
        <v>67493</v>
      </c>
      <c r="J284" s="78"/>
      <c r="L284" s="78"/>
    </row>
    <row r="285" spans="1:12" s="20" customFormat="1" ht="30.75">
      <c r="A285" s="14"/>
      <c r="B285" s="14">
        <v>150101</v>
      </c>
      <c r="C285" s="166" t="s">
        <v>114</v>
      </c>
      <c r="D285" s="15" t="s">
        <v>511</v>
      </c>
      <c r="E285" s="15" t="s">
        <v>468</v>
      </c>
      <c r="F285" s="17">
        <v>200557</v>
      </c>
      <c r="G285" s="18">
        <f t="shared" si="4"/>
        <v>0</v>
      </c>
      <c r="H285" s="17">
        <v>200557</v>
      </c>
      <c r="I285" s="17">
        <v>200557</v>
      </c>
      <c r="J285" s="78"/>
      <c r="L285" s="78"/>
    </row>
    <row r="286" spans="1:12" s="20" customFormat="1" ht="45.75">
      <c r="A286" s="14"/>
      <c r="B286" s="14">
        <v>150101</v>
      </c>
      <c r="C286" s="166" t="s">
        <v>114</v>
      </c>
      <c r="D286" s="15" t="s">
        <v>511</v>
      </c>
      <c r="E286" s="92" t="s">
        <v>174</v>
      </c>
      <c r="F286" s="85">
        <v>242658</v>
      </c>
      <c r="G286" s="87">
        <f t="shared" si="4"/>
        <v>0</v>
      </c>
      <c r="H286" s="85">
        <v>242658</v>
      </c>
      <c r="I286" s="85">
        <v>242658</v>
      </c>
      <c r="J286" s="78"/>
      <c r="L286" s="78"/>
    </row>
    <row r="287" spans="1:12" s="20" customFormat="1" ht="45.75">
      <c r="A287" s="14"/>
      <c r="B287" s="14">
        <v>150101</v>
      </c>
      <c r="C287" s="166" t="s">
        <v>114</v>
      </c>
      <c r="D287" s="15" t="s">
        <v>511</v>
      </c>
      <c r="E287" s="92" t="s">
        <v>175</v>
      </c>
      <c r="F287" s="17">
        <v>217236</v>
      </c>
      <c r="G287" s="18">
        <f t="shared" si="4"/>
        <v>0</v>
      </c>
      <c r="H287" s="17">
        <v>217236</v>
      </c>
      <c r="I287" s="17">
        <v>217236</v>
      </c>
      <c r="J287" s="78"/>
      <c r="L287" s="78"/>
    </row>
    <row r="288" spans="1:12" s="20" customFormat="1" ht="45.75">
      <c r="A288" s="14"/>
      <c r="B288" s="14">
        <v>150101</v>
      </c>
      <c r="C288" s="166" t="s">
        <v>114</v>
      </c>
      <c r="D288" s="15" t="s">
        <v>511</v>
      </c>
      <c r="E288" s="92" t="s">
        <v>176</v>
      </c>
      <c r="F288" s="17">
        <v>700084</v>
      </c>
      <c r="G288" s="18">
        <f t="shared" si="4"/>
        <v>0</v>
      </c>
      <c r="H288" s="17">
        <v>700084</v>
      </c>
      <c r="I288" s="17">
        <v>700084</v>
      </c>
      <c r="J288" s="78"/>
      <c r="L288" s="78"/>
    </row>
    <row r="289" spans="1:12" s="20" customFormat="1" ht="30.75">
      <c r="A289" s="14"/>
      <c r="B289" s="14">
        <v>150101</v>
      </c>
      <c r="C289" s="166" t="s">
        <v>114</v>
      </c>
      <c r="D289" s="15" t="s">
        <v>511</v>
      </c>
      <c r="E289" s="15" t="s">
        <v>463</v>
      </c>
      <c r="F289" s="17">
        <v>91400</v>
      </c>
      <c r="G289" s="18">
        <f t="shared" si="4"/>
        <v>0</v>
      </c>
      <c r="H289" s="17">
        <v>91400</v>
      </c>
      <c r="I289" s="17">
        <v>91400</v>
      </c>
      <c r="J289" s="78"/>
      <c r="L289" s="78"/>
    </row>
    <row r="290" spans="1:12" s="20" customFormat="1" ht="30.75">
      <c r="A290" s="14"/>
      <c r="B290" s="14">
        <v>150101</v>
      </c>
      <c r="C290" s="166" t="s">
        <v>114</v>
      </c>
      <c r="D290" s="15" t="s">
        <v>511</v>
      </c>
      <c r="E290" s="15" t="s">
        <v>464</v>
      </c>
      <c r="F290" s="17">
        <v>112998</v>
      </c>
      <c r="G290" s="18">
        <f t="shared" si="4"/>
        <v>0</v>
      </c>
      <c r="H290" s="17">
        <v>112998</v>
      </c>
      <c r="I290" s="17">
        <v>112998</v>
      </c>
      <c r="J290" s="78"/>
      <c r="L290" s="78"/>
    </row>
    <row r="291" spans="1:12" s="20" customFormat="1" ht="30.75">
      <c r="A291" s="14"/>
      <c r="B291" s="14">
        <v>150101</v>
      </c>
      <c r="C291" s="166" t="s">
        <v>114</v>
      </c>
      <c r="D291" s="15" t="s">
        <v>511</v>
      </c>
      <c r="E291" s="15" t="s">
        <v>465</v>
      </c>
      <c r="F291" s="17">
        <v>119569</v>
      </c>
      <c r="G291" s="18">
        <f t="shared" si="4"/>
        <v>0</v>
      </c>
      <c r="H291" s="17">
        <v>119569</v>
      </c>
      <c r="I291" s="17">
        <v>119569</v>
      </c>
      <c r="J291" s="78"/>
      <c r="L291" s="78"/>
    </row>
    <row r="292" spans="1:12" s="20" customFormat="1" ht="45.75">
      <c r="A292" s="14"/>
      <c r="B292" s="14">
        <v>150101</v>
      </c>
      <c r="C292" s="166" t="s">
        <v>114</v>
      </c>
      <c r="D292" s="15" t="s">
        <v>511</v>
      </c>
      <c r="E292" s="15" t="s">
        <v>430</v>
      </c>
      <c r="F292" s="17">
        <v>985867</v>
      </c>
      <c r="G292" s="18">
        <f t="shared" si="4"/>
        <v>0</v>
      </c>
      <c r="H292" s="17">
        <v>985867</v>
      </c>
      <c r="I292" s="17">
        <v>907895</v>
      </c>
      <c r="J292" s="78"/>
      <c r="L292" s="78"/>
    </row>
    <row r="293" spans="1:12" s="20" customFormat="1" ht="37.5">
      <c r="A293" s="14"/>
      <c r="B293" s="14">
        <v>150101</v>
      </c>
      <c r="C293" s="166" t="s">
        <v>114</v>
      </c>
      <c r="D293" s="15" t="s">
        <v>511</v>
      </c>
      <c r="E293" s="15" t="s">
        <v>434</v>
      </c>
      <c r="F293" s="17">
        <v>119099</v>
      </c>
      <c r="G293" s="18">
        <f t="shared" si="4"/>
        <v>14.273839410910256</v>
      </c>
      <c r="H293" s="17">
        <v>102099</v>
      </c>
      <c r="I293" s="17">
        <v>91960</v>
      </c>
      <c r="J293" s="78"/>
      <c r="L293" s="78"/>
    </row>
    <row r="294" spans="1:12" s="20" customFormat="1" ht="45.75">
      <c r="A294" s="14"/>
      <c r="B294" s="14">
        <v>150101</v>
      </c>
      <c r="C294" s="166" t="s">
        <v>114</v>
      </c>
      <c r="D294" s="15" t="s">
        <v>511</v>
      </c>
      <c r="E294" s="15" t="s">
        <v>435</v>
      </c>
      <c r="F294" s="17">
        <v>255769</v>
      </c>
      <c r="G294" s="18">
        <f t="shared" si="4"/>
        <v>0</v>
      </c>
      <c r="H294" s="17">
        <v>255769</v>
      </c>
      <c r="I294" s="17">
        <v>245845</v>
      </c>
      <c r="J294" s="78"/>
      <c r="L294" s="78"/>
    </row>
    <row r="295" spans="1:12" s="20" customFormat="1" ht="45.75">
      <c r="A295" s="14"/>
      <c r="B295" s="14">
        <v>150101</v>
      </c>
      <c r="C295" s="166" t="s">
        <v>114</v>
      </c>
      <c r="D295" s="15" t="s">
        <v>511</v>
      </c>
      <c r="E295" s="15" t="s">
        <v>436</v>
      </c>
      <c r="F295" s="17">
        <v>488200</v>
      </c>
      <c r="G295" s="18">
        <f t="shared" si="4"/>
        <v>31.825481360098323</v>
      </c>
      <c r="H295" s="17">
        <v>332828</v>
      </c>
      <c r="I295" s="17">
        <v>260852</v>
      </c>
      <c r="J295" s="78"/>
      <c r="L295" s="78"/>
    </row>
    <row r="296" spans="1:12" s="20" customFormat="1" ht="30.75">
      <c r="A296" s="14"/>
      <c r="B296" s="14">
        <v>150101</v>
      </c>
      <c r="C296" s="166" t="s">
        <v>114</v>
      </c>
      <c r="D296" s="15" t="s">
        <v>511</v>
      </c>
      <c r="E296" s="15" t="s">
        <v>498</v>
      </c>
      <c r="F296" s="17">
        <v>254771</v>
      </c>
      <c r="G296" s="18">
        <f t="shared" si="4"/>
        <v>0</v>
      </c>
      <c r="H296" s="17">
        <v>254771</v>
      </c>
      <c r="I296" s="17">
        <f>11308+159837+83626</f>
        <v>254771</v>
      </c>
      <c r="J296" s="78"/>
      <c r="L296" s="78"/>
    </row>
    <row r="297" spans="1:12" s="20" customFormat="1" ht="30.75">
      <c r="A297" s="14"/>
      <c r="B297" s="14">
        <v>150101</v>
      </c>
      <c r="C297" s="166" t="s">
        <v>114</v>
      </c>
      <c r="D297" s="15" t="s">
        <v>511</v>
      </c>
      <c r="E297" s="15" t="s">
        <v>437</v>
      </c>
      <c r="F297" s="17">
        <v>118223</v>
      </c>
      <c r="G297" s="18">
        <f t="shared" si="4"/>
        <v>22.618272248208896</v>
      </c>
      <c r="H297" s="17">
        <v>91483</v>
      </c>
      <c r="I297" s="17">
        <v>69506</v>
      </c>
      <c r="J297" s="78"/>
      <c r="L297" s="78"/>
    </row>
    <row r="298" spans="1:12" s="20" customFormat="1" ht="30.75">
      <c r="A298" s="14"/>
      <c r="B298" s="14">
        <v>150101</v>
      </c>
      <c r="C298" s="166" t="s">
        <v>114</v>
      </c>
      <c r="D298" s="15" t="s">
        <v>511</v>
      </c>
      <c r="E298" s="15" t="s">
        <v>438</v>
      </c>
      <c r="F298" s="17">
        <v>394561</v>
      </c>
      <c r="G298" s="18">
        <f t="shared" si="4"/>
        <v>18.922295918755268</v>
      </c>
      <c r="H298" s="17">
        <v>319901</v>
      </c>
      <c r="I298" s="17">
        <v>258682</v>
      </c>
      <c r="J298" s="78"/>
      <c r="L298" s="78"/>
    </row>
    <row r="299" spans="1:12" s="20" customFormat="1" ht="30.75">
      <c r="A299" s="14"/>
      <c r="B299" s="14">
        <v>150101</v>
      </c>
      <c r="C299" s="166" t="s">
        <v>114</v>
      </c>
      <c r="D299" s="15" t="s">
        <v>511</v>
      </c>
      <c r="E299" s="15" t="s">
        <v>439</v>
      </c>
      <c r="F299" s="17">
        <v>194639</v>
      </c>
      <c r="G299" s="18">
        <f t="shared" si="4"/>
        <v>20.02270870688814</v>
      </c>
      <c r="H299" s="17">
        <v>155667</v>
      </c>
      <c r="I299" s="17">
        <v>125093</v>
      </c>
      <c r="J299" s="78"/>
      <c r="L299" s="78"/>
    </row>
    <row r="300" spans="1:12" s="20" customFormat="1" ht="30.75">
      <c r="A300" s="14"/>
      <c r="B300" s="14">
        <v>150101</v>
      </c>
      <c r="C300" s="166" t="s">
        <v>114</v>
      </c>
      <c r="D300" s="15" t="s">
        <v>511</v>
      </c>
      <c r="E300" s="15" t="s">
        <v>440</v>
      </c>
      <c r="F300" s="17">
        <v>140302</v>
      </c>
      <c r="G300" s="18">
        <f t="shared" si="4"/>
        <v>19.413123120126585</v>
      </c>
      <c r="H300" s="17">
        <v>113065</v>
      </c>
      <c r="I300" s="17">
        <v>95106</v>
      </c>
      <c r="J300" s="78"/>
      <c r="L300" s="78"/>
    </row>
    <row r="301" spans="1:12" s="20" customFormat="1" ht="45.75">
      <c r="A301" s="14"/>
      <c r="B301" s="14">
        <v>150101</v>
      </c>
      <c r="C301" s="166" t="s">
        <v>114</v>
      </c>
      <c r="D301" s="15" t="s">
        <v>511</v>
      </c>
      <c r="E301" s="92" t="s">
        <v>143</v>
      </c>
      <c r="F301" s="17">
        <v>779288</v>
      </c>
      <c r="G301" s="18">
        <f t="shared" si="4"/>
        <v>0</v>
      </c>
      <c r="H301" s="17">
        <v>779288</v>
      </c>
      <c r="I301" s="17">
        <v>779288</v>
      </c>
      <c r="J301" s="78"/>
      <c r="L301" s="78"/>
    </row>
    <row r="302" spans="1:12" s="20" customFormat="1" ht="45.75">
      <c r="A302" s="14"/>
      <c r="B302" s="14">
        <v>150101</v>
      </c>
      <c r="C302" s="166" t="s">
        <v>114</v>
      </c>
      <c r="D302" s="15" t="s">
        <v>511</v>
      </c>
      <c r="E302" s="92" t="s">
        <v>208</v>
      </c>
      <c r="F302" s="17">
        <v>1437131</v>
      </c>
      <c r="G302" s="18">
        <f t="shared" si="4"/>
        <v>0</v>
      </c>
      <c r="H302" s="17">
        <v>1437131</v>
      </c>
      <c r="I302" s="17">
        <v>1437131</v>
      </c>
      <c r="J302" s="78"/>
      <c r="L302" s="78"/>
    </row>
    <row r="303" spans="1:12" s="20" customFormat="1" ht="30.75">
      <c r="A303" s="14"/>
      <c r="B303" s="14">
        <v>150101</v>
      </c>
      <c r="C303" s="166" t="s">
        <v>114</v>
      </c>
      <c r="D303" s="15" t="s">
        <v>511</v>
      </c>
      <c r="E303" s="92" t="s">
        <v>73</v>
      </c>
      <c r="F303" s="17">
        <v>10984</v>
      </c>
      <c r="G303" s="18">
        <f t="shared" si="4"/>
        <v>0</v>
      </c>
      <c r="H303" s="17">
        <v>10984</v>
      </c>
      <c r="I303" s="17">
        <v>10984</v>
      </c>
      <c r="J303" s="78"/>
      <c r="L303" s="78"/>
    </row>
    <row r="304" spans="1:12" s="20" customFormat="1" ht="30.75">
      <c r="A304" s="14"/>
      <c r="B304" s="14">
        <v>150101</v>
      </c>
      <c r="C304" s="166" t="s">
        <v>114</v>
      </c>
      <c r="D304" s="15" t="s">
        <v>511</v>
      </c>
      <c r="E304" s="92" t="s">
        <v>74</v>
      </c>
      <c r="F304" s="17">
        <v>11269</v>
      </c>
      <c r="G304" s="18">
        <f t="shared" si="4"/>
        <v>0</v>
      </c>
      <c r="H304" s="17">
        <v>11269</v>
      </c>
      <c r="I304" s="17">
        <v>11269</v>
      </c>
      <c r="J304" s="78"/>
      <c r="L304" s="78"/>
    </row>
    <row r="305" spans="1:12" s="20" customFormat="1" ht="45.75">
      <c r="A305" s="14"/>
      <c r="B305" s="14">
        <v>150101</v>
      </c>
      <c r="C305" s="166" t="s">
        <v>114</v>
      </c>
      <c r="D305" s="15" t="s">
        <v>511</v>
      </c>
      <c r="E305" s="15" t="s">
        <v>469</v>
      </c>
      <c r="F305" s="17">
        <v>1500000</v>
      </c>
      <c r="G305" s="18">
        <f t="shared" si="4"/>
        <v>0</v>
      </c>
      <c r="H305" s="17">
        <v>1500000</v>
      </c>
      <c r="I305" s="17">
        <v>1500000</v>
      </c>
      <c r="J305" s="78"/>
      <c r="L305" s="78"/>
    </row>
    <row r="306" spans="1:12" s="20" customFormat="1" ht="30.75">
      <c r="A306" s="14"/>
      <c r="B306" s="14">
        <v>150101</v>
      </c>
      <c r="C306" s="166" t="s">
        <v>114</v>
      </c>
      <c r="D306" s="15" t="s">
        <v>511</v>
      </c>
      <c r="E306" s="15" t="s">
        <v>470</v>
      </c>
      <c r="F306" s="17">
        <f>179000+227000</f>
        <v>406000</v>
      </c>
      <c r="G306" s="18">
        <f t="shared" si="4"/>
        <v>0</v>
      </c>
      <c r="H306" s="17">
        <f>179000+227000</f>
        <v>406000</v>
      </c>
      <c r="I306" s="17">
        <f>179000+60947-60947</f>
        <v>179000</v>
      </c>
      <c r="J306" s="78"/>
      <c r="L306" s="78"/>
    </row>
    <row r="307" spans="1:12" s="20" customFormat="1" ht="30.75">
      <c r="A307" s="14"/>
      <c r="B307" s="14">
        <v>150101</v>
      </c>
      <c r="C307" s="166" t="s">
        <v>114</v>
      </c>
      <c r="D307" s="15" t="s">
        <v>511</v>
      </c>
      <c r="E307" s="92" t="s">
        <v>100</v>
      </c>
      <c r="F307" s="17">
        <v>2215631</v>
      </c>
      <c r="G307" s="18">
        <f t="shared" si="4"/>
        <v>0</v>
      </c>
      <c r="H307" s="17">
        <v>2215631</v>
      </c>
      <c r="I307" s="17">
        <v>2125000</v>
      </c>
      <c r="J307" s="78"/>
      <c r="L307" s="78"/>
    </row>
    <row r="308" spans="1:12" s="20" customFormat="1" ht="30.75">
      <c r="A308" s="14"/>
      <c r="B308" s="14">
        <v>150101</v>
      </c>
      <c r="C308" s="166" t="s">
        <v>114</v>
      </c>
      <c r="D308" s="15" t="s">
        <v>511</v>
      </c>
      <c r="E308" s="15" t="s">
        <v>329</v>
      </c>
      <c r="F308" s="17">
        <v>100000</v>
      </c>
      <c r="G308" s="18">
        <f t="shared" si="4"/>
        <v>0</v>
      </c>
      <c r="H308" s="17">
        <v>100000</v>
      </c>
      <c r="I308" s="17">
        <v>100000</v>
      </c>
      <c r="J308" s="78"/>
      <c r="L308" s="78"/>
    </row>
    <row r="309" spans="1:12" s="20" customFormat="1" ht="15.75">
      <c r="A309" s="14"/>
      <c r="B309" s="14">
        <v>150101</v>
      </c>
      <c r="C309" s="166" t="s">
        <v>114</v>
      </c>
      <c r="D309" s="15" t="s">
        <v>511</v>
      </c>
      <c r="E309" s="15" t="s">
        <v>472</v>
      </c>
      <c r="F309" s="17">
        <v>13492940</v>
      </c>
      <c r="G309" s="18">
        <f t="shared" si="4"/>
        <v>21.412501649010522</v>
      </c>
      <c r="H309" s="17">
        <v>10603764</v>
      </c>
      <c r="I309" s="17">
        <v>500000</v>
      </c>
      <c r="J309" s="78"/>
      <c r="L309" s="78"/>
    </row>
    <row r="310" spans="1:12" s="20" customFormat="1" ht="45.75">
      <c r="A310" s="14"/>
      <c r="B310" s="14">
        <v>150101</v>
      </c>
      <c r="C310" s="166" t="s">
        <v>114</v>
      </c>
      <c r="D310" s="15" t="s">
        <v>511</v>
      </c>
      <c r="E310" s="15" t="s">
        <v>473</v>
      </c>
      <c r="F310" s="17">
        <v>8000</v>
      </c>
      <c r="G310" s="18">
        <f t="shared" si="4"/>
        <v>0</v>
      </c>
      <c r="H310" s="17">
        <v>8000</v>
      </c>
      <c r="I310" s="17">
        <v>8000</v>
      </c>
      <c r="J310" s="78"/>
      <c r="L310" s="78"/>
    </row>
    <row r="311" spans="1:12" s="20" customFormat="1" ht="30.75" hidden="1">
      <c r="A311" s="14"/>
      <c r="B311" s="14">
        <v>150101</v>
      </c>
      <c r="C311" s="166" t="s">
        <v>114</v>
      </c>
      <c r="D311" s="15" t="s">
        <v>511</v>
      </c>
      <c r="E311" s="15" t="s">
        <v>44</v>
      </c>
      <c r="F311" s="17"/>
      <c r="G311" s="18"/>
      <c r="H311" s="17"/>
      <c r="I311" s="17"/>
      <c r="J311" s="78"/>
      <c r="L311" s="78"/>
    </row>
    <row r="312" spans="1:12" s="20" customFormat="1" ht="30.75" hidden="1">
      <c r="A312" s="14"/>
      <c r="B312" s="14">
        <v>150101</v>
      </c>
      <c r="C312" s="166" t="s">
        <v>114</v>
      </c>
      <c r="D312" s="15" t="s">
        <v>511</v>
      </c>
      <c r="E312" s="15" t="s">
        <v>45</v>
      </c>
      <c r="F312" s="17"/>
      <c r="G312" s="18"/>
      <c r="H312" s="17"/>
      <c r="I312" s="17"/>
      <c r="J312" s="78"/>
      <c r="L312" s="78"/>
    </row>
    <row r="313" spans="1:12" s="20" customFormat="1" ht="30.75" hidden="1">
      <c r="A313" s="14"/>
      <c r="B313" s="14">
        <v>150101</v>
      </c>
      <c r="C313" s="166" t="s">
        <v>114</v>
      </c>
      <c r="D313" s="15" t="s">
        <v>511</v>
      </c>
      <c r="E313" s="15" t="s">
        <v>46</v>
      </c>
      <c r="F313" s="17"/>
      <c r="G313" s="18"/>
      <c r="H313" s="17"/>
      <c r="I313" s="17"/>
      <c r="J313" s="78"/>
      <c r="L313" s="78"/>
    </row>
    <row r="314" spans="1:12" s="20" customFormat="1" ht="30.75" hidden="1">
      <c r="A314" s="14"/>
      <c r="B314" s="14">
        <v>150101</v>
      </c>
      <c r="C314" s="166" t="s">
        <v>114</v>
      </c>
      <c r="D314" s="15" t="s">
        <v>511</v>
      </c>
      <c r="E314" s="15" t="s">
        <v>47</v>
      </c>
      <c r="F314" s="17"/>
      <c r="G314" s="18"/>
      <c r="H314" s="17"/>
      <c r="I314" s="17"/>
      <c r="J314" s="78"/>
      <c r="L314" s="78"/>
    </row>
    <row r="315" spans="1:12" s="20" customFormat="1" ht="30.75" hidden="1">
      <c r="A315" s="14"/>
      <c r="B315" s="14">
        <v>150101</v>
      </c>
      <c r="C315" s="166" t="s">
        <v>114</v>
      </c>
      <c r="D315" s="15" t="s">
        <v>511</v>
      </c>
      <c r="E315" s="15" t="s">
        <v>48</v>
      </c>
      <c r="F315" s="17"/>
      <c r="G315" s="18"/>
      <c r="H315" s="17"/>
      <c r="I315" s="17"/>
      <c r="J315" s="78"/>
      <c r="L315" s="78"/>
    </row>
    <row r="316" spans="1:12" s="20" customFormat="1" ht="30.75" hidden="1">
      <c r="A316" s="14"/>
      <c r="B316" s="14">
        <v>150101</v>
      </c>
      <c r="C316" s="166" t="s">
        <v>114</v>
      </c>
      <c r="D316" s="15" t="s">
        <v>511</v>
      </c>
      <c r="E316" s="15" t="s">
        <v>49</v>
      </c>
      <c r="F316" s="17"/>
      <c r="G316" s="18"/>
      <c r="H316" s="17"/>
      <c r="I316" s="17"/>
      <c r="J316" s="78"/>
      <c r="L316" s="78"/>
    </row>
    <row r="317" spans="1:12" s="20" customFormat="1" ht="45.75">
      <c r="A317" s="14"/>
      <c r="B317" s="14">
        <v>150101</v>
      </c>
      <c r="C317" s="166" t="s">
        <v>114</v>
      </c>
      <c r="D317" s="15" t="s">
        <v>511</v>
      </c>
      <c r="E317" s="89" t="s">
        <v>191</v>
      </c>
      <c r="F317" s="17">
        <v>5103496</v>
      </c>
      <c r="G317" s="18">
        <f t="shared" si="4"/>
        <v>0</v>
      </c>
      <c r="H317" s="17">
        <v>5103496</v>
      </c>
      <c r="I317" s="85">
        <v>189288</v>
      </c>
      <c r="J317" s="78"/>
      <c r="L317" s="78"/>
    </row>
    <row r="318" spans="1:12" s="20" customFormat="1" ht="39" customHeight="1">
      <c r="A318" s="129"/>
      <c r="B318" s="129">
        <v>150101</v>
      </c>
      <c r="C318" s="166" t="s">
        <v>114</v>
      </c>
      <c r="D318" s="130" t="s">
        <v>511</v>
      </c>
      <c r="E318" s="184" t="s">
        <v>94</v>
      </c>
      <c r="F318" s="178">
        <f>SUM(F319:F335)</f>
        <v>1428861</v>
      </c>
      <c r="G318" s="133">
        <f t="shared" si="4"/>
        <v>29.89409046786217</v>
      </c>
      <c r="H318" s="132">
        <f>SUM(H319:H335)</f>
        <v>1001716</v>
      </c>
      <c r="I318" s="132">
        <f>SUM(I319:I335)</f>
        <v>958963</v>
      </c>
      <c r="J318" s="78"/>
      <c r="L318" s="78"/>
    </row>
    <row r="319" spans="1:12" s="20" customFormat="1" ht="18.75">
      <c r="A319" s="14"/>
      <c r="B319" s="14">
        <v>150101</v>
      </c>
      <c r="C319" s="166" t="s">
        <v>114</v>
      </c>
      <c r="D319" s="15" t="s">
        <v>511</v>
      </c>
      <c r="E319" s="146" t="s">
        <v>9</v>
      </c>
      <c r="F319" s="50">
        <v>68963</v>
      </c>
      <c r="G319" s="18">
        <f t="shared" si="4"/>
        <v>97.52330960080043</v>
      </c>
      <c r="H319" s="17">
        <v>1708</v>
      </c>
      <c r="I319" s="17">
        <v>410</v>
      </c>
      <c r="J319" s="78"/>
      <c r="L319" s="78"/>
    </row>
    <row r="320" spans="1:12" s="20" customFormat="1" ht="18.75">
      <c r="A320" s="14"/>
      <c r="B320" s="14">
        <v>150101</v>
      </c>
      <c r="C320" s="166" t="s">
        <v>114</v>
      </c>
      <c r="D320" s="15" t="s">
        <v>511</v>
      </c>
      <c r="E320" s="146" t="s">
        <v>11</v>
      </c>
      <c r="F320" s="50">
        <v>57076</v>
      </c>
      <c r="G320" s="18">
        <f t="shared" si="4"/>
        <v>10.5245637395753</v>
      </c>
      <c r="H320" s="17">
        <v>51069</v>
      </c>
      <c r="I320" s="17">
        <f>571+50498</f>
        <v>51069</v>
      </c>
      <c r="J320" s="78"/>
      <c r="L320" s="78"/>
    </row>
    <row r="321" spans="1:12" s="20" customFormat="1" ht="18.75">
      <c r="A321" s="14"/>
      <c r="B321" s="14">
        <v>150101</v>
      </c>
      <c r="C321" s="166" t="s">
        <v>114</v>
      </c>
      <c r="D321" s="15" t="s">
        <v>511</v>
      </c>
      <c r="E321" s="146" t="s">
        <v>37</v>
      </c>
      <c r="F321" s="50">
        <v>74519</v>
      </c>
      <c r="G321" s="18">
        <f t="shared" si="4"/>
        <v>78.582643352702</v>
      </c>
      <c r="H321" s="17">
        <v>15960</v>
      </c>
      <c r="I321" s="17">
        <v>1558</v>
      </c>
      <c r="J321" s="78"/>
      <c r="L321" s="78"/>
    </row>
    <row r="322" spans="1:12" s="20" customFormat="1" ht="18.75">
      <c r="A322" s="14"/>
      <c r="B322" s="14">
        <v>150101</v>
      </c>
      <c r="C322" s="166" t="s">
        <v>114</v>
      </c>
      <c r="D322" s="15" t="s">
        <v>511</v>
      </c>
      <c r="E322" s="146" t="s">
        <v>310</v>
      </c>
      <c r="F322" s="50">
        <v>75228</v>
      </c>
      <c r="G322" s="18">
        <f t="shared" si="4"/>
        <v>85.83506141330355</v>
      </c>
      <c r="H322" s="17">
        <v>10656</v>
      </c>
      <c r="I322" s="17">
        <v>1692</v>
      </c>
      <c r="J322" s="78"/>
      <c r="L322" s="78"/>
    </row>
    <row r="323" spans="1:12" s="20" customFormat="1" ht="21" customHeight="1">
      <c r="A323" s="14"/>
      <c r="B323" s="14">
        <v>150101</v>
      </c>
      <c r="C323" s="166" t="s">
        <v>114</v>
      </c>
      <c r="D323" s="15" t="s">
        <v>511</v>
      </c>
      <c r="E323" s="146" t="s">
        <v>8</v>
      </c>
      <c r="F323" s="50">
        <v>49702</v>
      </c>
      <c r="G323" s="18">
        <f t="shared" si="4"/>
        <v>77.02104543076737</v>
      </c>
      <c r="H323" s="17">
        <v>11421</v>
      </c>
      <c r="I323" s="17">
        <v>1536</v>
      </c>
      <c r="J323" s="96"/>
      <c r="L323" s="78"/>
    </row>
    <row r="324" spans="1:12" s="20" customFormat="1" ht="21" customHeight="1">
      <c r="A324" s="14"/>
      <c r="B324" s="14">
        <v>150101</v>
      </c>
      <c r="C324" s="166" t="s">
        <v>114</v>
      </c>
      <c r="D324" s="15" t="s">
        <v>511</v>
      </c>
      <c r="E324" s="146" t="s">
        <v>7</v>
      </c>
      <c r="F324" s="50">
        <v>97580</v>
      </c>
      <c r="G324" s="18">
        <f t="shared" si="4"/>
        <v>7.176675548268079</v>
      </c>
      <c r="H324" s="17">
        <v>90577</v>
      </c>
      <c r="I324" s="19">
        <f>699+89878</f>
        <v>90577</v>
      </c>
      <c r="J324" s="78"/>
      <c r="L324" s="78"/>
    </row>
    <row r="325" spans="1:12" s="20" customFormat="1" ht="18.75">
      <c r="A325" s="14"/>
      <c r="B325" s="14">
        <v>150101</v>
      </c>
      <c r="C325" s="166" t="s">
        <v>114</v>
      </c>
      <c r="D325" s="15" t="s">
        <v>511</v>
      </c>
      <c r="E325" s="146" t="s">
        <v>10</v>
      </c>
      <c r="F325" s="50">
        <v>82880</v>
      </c>
      <c r="G325" s="18">
        <f t="shared" si="4"/>
        <v>8.449565637065632</v>
      </c>
      <c r="H325" s="17">
        <v>75877</v>
      </c>
      <c r="I325" s="85">
        <f>656+75221</f>
        <v>75877</v>
      </c>
      <c r="J325" s="78"/>
      <c r="L325" s="78"/>
    </row>
    <row r="326" spans="1:12" s="20" customFormat="1" ht="18.75">
      <c r="A326" s="14"/>
      <c r="B326" s="14">
        <v>150101</v>
      </c>
      <c r="C326" s="166" t="s">
        <v>114</v>
      </c>
      <c r="D326" s="15" t="s">
        <v>511</v>
      </c>
      <c r="E326" s="146" t="s">
        <v>298</v>
      </c>
      <c r="F326" s="50">
        <v>75228</v>
      </c>
      <c r="G326" s="18">
        <f t="shared" si="4"/>
        <v>86.82671345775509</v>
      </c>
      <c r="H326" s="17">
        <v>9910</v>
      </c>
      <c r="I326" s="85">
        <v>1706</v>
      </c>
      <c r="J326" s="78"/>
      <c r="L326" s="78"/>
    </row>
    <row r="327" spans="1:12" s="20" customFormat="1" ht="18.75">
      <c r="A327" s="14"/>
      <c r="B327" s="14">
        <v>150101</v>
      </c>
      <c r="C327" s="166" t="s">
        <v>114</v>
      </c>
      <c r="D327" s="15" t="s">
        <v>511</v>
      </c>
      <c r="E327" s="146" t="s">
        <v>83</v>
      </c>
      <c r="F327" s="50">
        <v>90304</v>
      </c>
      <c r="G327" s="18">
        <f t="shared" si="4"/>
        <v>7.831325301204814</v>
      </c>
      <c r="H327" s="17">
        <v>83232</v>
      </c>
      <c r="I327" s="85">
        <v>83232</v>
      </c>
      <c r="J327" s="78"/>
      <c r="L327" s="78"/>
    </row>
    <row r="328" spans="1:12" s="20" customFormat="1" ht="18.75">
      <c r="A328" s="14"/>
      <c r="B328" s="14">
        <v>150101</v>
      </c>
      <c r="C328" s="166" t="s">
        <v>114</v>
      </c>
      <c r="D328" s="15" t="s">
        <v>511</v>
      </c>
      <c r="E328" s="146" t="s">
        <v>85</v>
      </c>
      <c r="F328" s="50">
        <v>116591</v>
      </c>
      <c r="G328" s="18">
        <f t="shared" si="4"/>
        <v>8.218473123997555</v>
      </c>
      <c r="H328" s="17">
        <v>107009</v>
      </c>
      <c r="I328" s="85">
        <v>107009</v>
      </c>
      <c r="J328" s="78"/>
      <c r="L328" s="78"/>
    </row>
    <row r="329" spans="1:12" s="20" customFormat="1" ht="18.75">
      <c r="A329" s="14"/>
      <c r="B329" s="14">
        <v>150101</v>
      </c>
      <c r="C329" s="166" t="s">
        <v>114</v>
      </c>
      <c r="D329" s="15" t="s">
        <v>511</v>
      </c>
      <c r="E329" s="146" t="s">
        <v>86</v>
      </c>
      <c r="F329" s="50">
        <v>98607</v>
      </c>
      <c r="G329" s="18">
        <f t="shared" si="4"/>
        <v>29.483708053180806</v>
      </c>
      <c r="H329" s="17">
        <v>69534</v>
      </c>
      <c r="I329" s="85">
        <v>69534</v>
      </c>
      <c r="J329" s="78"/>
      <c r="L329" s="78"/>
    </row>
    <row r="330" spans="1:12" s="20" customFormat="1" ht="18.75">
      <c r="A330" s="14"/>
      <c r="B330" s="14">
        <v>150101</v>
      </c>
      <c r="C330" s="166" t="s">
        <v>114</v>
      </c>
      <c r="D330" s="15" t="s">
        <v>511</v>
      </c>
      <c r="E330" s="146" t="s">
        <v>87</v>
      </c>
      <c r="F330" s="50">
        <v>131646</v>
      </c>
      <c r="G330" s="18">
        <f t="shared" si="4"/>
        <v>7.40014888412864</v>
      </c>
      <c r="H330" s="17">
        <v>121904</v>
      </c>
      <c r="I330" s="85">
        <v>121904</v>
      </c>
      <c r="J330" s="78"/>
      <c r="L330" s="78"/>
    </row>
    <row r="331" spans="1:12" s="20" customFormat="1" ht="18.75">
      <c r="A331" s="14"/>
      <c r="B331" s="14">
        <v>150101</v>
      </c>
      <c r="C331" s="166" t="s">
        <v>114</v>
      </c>
      <c r="D331" s="15" t="s">
        <v>511</v>
      </c>
      <c r="E331" s="146" t="s">
        <v>88</v>
      </c>
      <c r="F331" s="50">
        <v>90927</v>
      </c>
      <c r="G331" s="18">
        <f t="shared" si="4"/>
        <v>10.30277035424021</v>
      </c>
      <c r="H331" s="17">
        <v>81559</v>
      </c>
      <c r="I331" s="85">
        <v>81559</v>
      </c>
      <c r="J331" s="78"/>
      <c r="L331" s="78"/>
    </row>
    <row r="332" spans="1:12" s="20" customFormat="1" ht="18.75">
      <c r="A332" s="14"/>
      <c r="B332" s="14">
        <v>150101</v>
      </c>
      <c r="C332" s="166" t="s">
        <v>114</v>
      </c>
      <c r="D332" s="15" t="s">
        <v>511</v>
      </c>
      <c r="E332" s="146" t="s">
        <v>89</v>
      </c>
      <c r="F332" s="50">
        <v>65129</v>
      </c>
      <c r="G332" s="18">
        <f t="shared" si="4"/>
        <v>14.002978703803223</v>
      </c>
      <c r="H332" s="17">
        <v>56009</v>
      </c>
      <c r="I332" s="85">
        <v>56009</v>
      </c>
      <c r="J332" s="78"/>
      <c r="L332" s="78"/>
    </row>
    <row r="333" spans="1:12" s="20" customFormat="1" ht="18.75">
      <c r="A333" s="14"/>
      <c r="B333" s="14">
        <v>150101</v>
      </c>
      <c r="C333" s="166" t="s">
        <v>114</v>
      </c>
      <c r="D333" s="15" t="s">
        <v>511</v>
      </c>
      <c r="E333" s="146" t="s">
        <v>90</v>
      </c>
      <c r="F333" s="50">
        <v>54223</v>
      </c>
      <c r="G333" s="18">
        <f t="shared" si="4"/>
        <v>16.675580473230923</v>
      </c>
      <c r="H333" s="17">
        <v>45181</v>
      </c>
      <c r="I333" s="85">
        <v>45181</v>
      </c>
      <c r="J333" s="78"/>
      <c r="L333" s="78"/>
    </row>
    <row r="334" spans="1:12" s="20" customFormat="1" ht="18.75">
      <c r="A334" s="14"/>
      <c r="B334" s="14">
        <v>150101</v>
      </c>
      <c r="C334" s="166" t="s">
        <v>114</v>
      </c>
      <c r="D334" s="15" t="s">
        <v>511</v>
      </c>
      <c r="E334" s="146" t="s">
        <v>91</v>
      </c>
      <c r="F334" s="50">
        <v>100258</v>
      </c>
      <c r="G334" s="18">
        <f t="shared" si="4"/>
        <v>30.0704183207325</v>
      </c>
      <c r="H334" s="17">
        <v>70110</v>
      </c>
      <c r="I334" s="85">
        <v>70110</v>
      </c>
      <c r="J334" s="78"/>
      <c r="L334" s="78"/>
    </row>
    <row r="335" spans="1:12" s="20" customFormat="1" ht="18.75">
      <c r="A335" s="14"/>
      <c r="B335" s="14">
        <v>150101</v>
      </c>
      <c r="C335" s="166" t="s">
        <v>114</v>
      </c>
      <c r="D335" s="15" t="s">
        <v>511</v>
      </c>
      <c r="E335" s="146" t="s">
        <v>92</v>
      </c>
      <c r="F335" s="50">
        <v>100000</v>
      </c>
      <c r="G335" s="18">
        <f t="shared" si="4"/>
        <v>0</v>
      </c>
      <c r="H335" s="17">
        <v>100000</v>
      </c>
      <c r="I335" s="17">
        <v>100000</v>
      </c>
      <c r="J335" s="78"/>
      <c r="L335" s="78"/>
    </row>
    <row r="336" spans="1:12" s="20" customFormat="1" ht="45" customHeight="1">
      <c r="A336" s="14"/>
      <c r="B336" s="129">
        <v>150101</v>
      </c>
      <c r="C336" s="166" t="s">
        <v>114</v>
      </c>
      <c r="D336" s="130" t="s">
        <v>511</v>
      </c>
      <c r="E336" s="184" t="s">
        <v>93</v>
      </c>
      <c r="F336" s="179">
        <f>SUM(F337:F340)</f>
        <v>198656</v>
      </c>
      <c r="G336" s="161">
        <f t="shared" si="4"/>
        <v>15.093427835051543</v>
      </c>
      <c r="H336" s="160">
        <f>SUM(H337:H340)</f>
        <v>168672</v>
      </c>
      <c r="I336" s="160">
        <f>SUM(I337:I340)</f>
        <v>168672</v>
      </c>
      <c r="J336" s="96"/>
      <c r="L336" s="78"/>
    </row>
    <row r="337" spans="1:12" s="20" customFormat="1" ht="18.75">
      <c r="A337" s="14"/>
      <c r="B337" s="159">
        <v>150101</v>
      </c>
      <c r="C337" s="166" t="s">
        <v>114</v>
      </c>
      <c r="D337" s="92" t="s">
        <v>511</v>
      </c>
      <c r="E337" s="185" t="s">
        <v>95</v>
      </c>
      <c r="F337" s="50">
        <v>49664</v>
      </c>
      <c r="G337" s="18">
        <f>100-(H337/F337)*100</f>
        <v>15.093427835051543</v>
      </c>
      <c r="H337" s="17">
        <v>42168</v>
      </c>
      <c r="I337" s="17">
        <v>42168</v>
      </c>
      <c r="J337" s="78"/>
      <c r="L337" s="78"/>
    </row>
    <row r="338" spans="1:12" s="20" customFormat="1" ht="18.75">
      <c r="A338" s="14"/>
      <c r="B338" s="180">
        <v>150101</v>
      </c>
      <c r="C338" s="181" t="s">
        <v>114</v>
      </c>
      <c r="D338" s="182" t="s">
        <v>511</v>
      </c>
      <c r="E338" s="183" t="s">
        <v>96</v>
      </c>
      <c r="F338" s="50">
        <v>49664</v>
      </c>
      <c r="G338" s="18">
        <f>100-(H338/F338)*100</f>
        <v>15.093427835051543</v>
      </c>
      <c r="H338" s="17">
        <v>42168</v>
      </c>
      <c r="I338" s="17">
        <v>42168</v>
      </c>
      <c r="J338" s="78"/>
      <c r="L338" s="78"/>
    </row>
    <row r="339" spans="1:12" s="20" customFormat="1" ht="18.75">
      <c r="A339" s="14"/>
      <c r="B339" s="159">
        <v>150101</v>
      </c>
      <c r="C339" s="166" t="s">
        <v>114</v>
      </c>
      <c r="D339" s="92" t="s">
        <v>511</v>
      </c>
      <c r="E339" s="118" t="s">
        <v>142</v>
      </c>
      <c r="F339" s="50">
        <v>49664</v>
      </c>
      <c r="G339" s="18">
        <f>100-(H339/F339)*100</f>
        <v>15.093427835051543</v>
      </c>
      <c r="H339" s="17">
        <v>42168</v>
      </c>
      <c r="I339" s="17">
        <v>42168</v>
      </c>
      <c r="J339" s="78"/>
      <c r="L339" s="78"/>
    </row>
    <row r="340" spans="1:12" s="20" customFormat="1" ht="18.75">
      <c r="A340" s="14"/>
      <c r="B340" s="159">
        <v>150101</v>
      </c>
      <c r="C340" s="166" t="s">
        <v>114</v>
      </c>
      <c r="D340" s="92" t="s">
        <v>511</v>
      </c>
      <c r="E340" s="158" t="s">
        <v>97</v>
      </c>
      <c r="F340" s="50">
        <v>49664</v>
      </c>
      <c r="G340" s="18">
        <f>100-(H340/F340)*100</f>
        <v>15.093427835051543</v>
      </c>
      <c r="H340" s="17">
        <v>42168</v>
      </c>
      <c r="I340" s="17">
        <v>42168</v>
      </c>
      <c r="J340" s="78"/>
      <c r="L340" s="78"/>
    </row>
    <row r="341" spans="1:12" s="20" customFormat="1" ht="30.75">
      <c r="A341" s="14"/>
      <c r="B341" s="14" t="s">
        <v>249</v>
      </c>
      <c r="C341" s="166" t="s">
        <v>134</v>
      </c>
      <c r="D341" s="15" t="s">
        <v>250</v>
      </c>
      <c r="E341" s="15" t="s">
        <v>250</v>
      </c>
      <c r="F341" s="17"/>
      <c r="G341" s="18"/>
      <c r="H341" s="17"/>
      <c r="I341" s="19">
        <f>'[1]Місто'!$O$277</f>
        <v>3870326</v>
      </c>
      <c r="J341" s="78"/>
      <c r="L341" s="78"/>
    </row>
    <row r="342" spans="1:12" s="20" customFormat="1" ht="45.75">
      <c r="A342" s="14"/>
      <c r="B342" s="14">
        <v>170703</v>
      </c>
      <c r="C342" s="166" t="s">
        <v>135</v>
      </c>
      <c r="D342" s="92" t="s">
        <v>84</v>
      </c>
      <c r="E342" s="15" t="s">
        <v>403</v>
      </c>
      <c r="F342" s="17">
        <v>14805017</v>
      </c>
      <c r="G342" s="18">
        <f aca="true" t="shared" si="5" ref="G342:G358">100-(H342/F342)*100</f>
        <v>3.1051703621819513</v>
      </c>
      <c r="H342" s="17">
        <v>14345296</v>
      </c>
      <c r="I342" s="19">
        <v>87356</v>
      </c>
      <c r="J342" s="78"/>
      <c r="L342" s="78"/>
    </row>
    <row r="343" spans="1:12" s="20" customFormat="1" ht="45.75">
      <c r="A343" s="14"/>
      <c r="B343" s="14">
        <v>170703</v>
      </c>
      <c r="C343" s="166" t="s">
        <v>135</v>
      </c>
      <c r="D343" s="92" t="s">
        <v>84</v>
      </c>
      <c r="E343" s="15" t="s">
        <v>412</v>
      </c>
      <c r="F343" s="17">
        <v>3012364</v>
      </c>
      <c r="G343" s="18">
        <f t="shared" si="5"/>
        <v>76.44069574593243</v>
      </c>
      <c r="H343" s="85">
        <v>709692</v>
      </c>
      <c r="I343" s="85">
        <v>709692</v>
      </c>
      <c r="J343" s="78"/>
      <c r="L343" s="78"/>
    </row>
    <row r="344" spans="1:12" s="20" customFormat="1" ht="45.75">
      <c r="A344" s="14"/>
      <c r="B344" s="14">
        <v>170703</v>
      </c>
      <c r="C344" s="166" t="s">
        <v>135</v>
      </c>
      <c r="D344" s="92" t="s">
        <v>84</v>
      </c>
      <c r="E344" s="15" t="s">
        <v>390</v>
      </c>
      <c r="F344" s="17">
        <v>2037432</v>
      </c>
      <c r="G344" s="18">
        <f t="shared" si="5"/>
        <v>62.594481680861</v>
      </c>
      <c r="H344" s="17">
        <v>762112</v>
      </c>
      <c r="I344" s="85">
        <v>762112</v>
      </c>
      <c r="J344" s="78"/>
      <c r="L344" s="78"/>
    </row>
    <row r="345" spans="1:12" s="20" customFormat="1" ht="48" customHeight="1">
      <c r="A345" s="14"/>
      <c r="B345" s="14">
        <v>170703</v>
      </c>
      <c r="C345" s="166" t="s">
        <v>135</v>
      </c>
      <c r="D345" s="92" t="s">
        <v>84</v>
      </c>
      <c r="E345" s="15" t="s">
        <v>391</v>
      </c>
      <c r="F345" s="17">
        <v>4483600</v>
      </c>
      <c r="G345" s="18">
        <f t="shared" si="5"/>
        <v>89.21692390043715</v>
      </c>
      <c r="H345" s="85">
        <v>483470</v>
      </c>
      <c r="I345" s="85">
        <v>483470</v>
      </c>
      <c r="J345" s="78"/>
      <c r="L345" s="78"/>
    </row>
    <row r="346" spans="1:12" s="20" customFormat="1" ht="75.75" hidden="1">
      <c r="A346" s="14"/>
      <c r="B346" s="14">
        <v>150101</v>
      </c>
      <c r="C346" s="166" t="s">
        <v>114</v>
      </c>
      <c r="D346" s="92" t="s">
        <v>84</v>
      </c>
      <c r="E346" s="15" t="s">
        <v>393</v>
      </c>
      <c r="F346" s="17">
        <v>0</v>
      </c>
      <c r="G346" s="18" t="e">
        <f t="shared" si="5"/>
        <v>#DIV/0!</v>
      </c>
      <c r="H346" s="17">
        <v>0</v>
      </c>
      <c r="I346" s="85"/>
      <c r="J346" s="78"/>
      <c r="L346" s="78"/>
    </row>
    <row r="347" spans="1:12" s="20" customFormat="1" ht="45.75">
      <c r="A347" s="14"/>
      <c r="B347" s="14">
        <v>170703</v>
      </c>
      <c r="C347" s="166" t="s">
        <v>135</v>
      </c>
      <c r="D347" s="92" t="s">
        <v>84</v>
      </c>
      <c r="E347" s="15" t="s">
        <v>431</v>
      </c>
      <c r="F347" s="17">
        <v>2489880</v>
      </c>
      <c r="G347" s="18">
        <f t="shared" si="5"/>
        <v>94.85131813581377</v>
      </c>
      <c r="H347" s="17">
        <v>128196</v>
      </c>
      <c r="I347" s="85">
        <v>37490</v>
      </c>
      <c r="J347" s="78"/>
      <c r="L347" s="78"/>
    </row>
    <row r="348" spans="1:12" s="20" customFormat="1" ht="45.75">
      <c r="A348" s="14"/>
      <c r="B348" s="14">
        <v>170703</v>
      </c>
      <c r="C348" s="166" t="s">
        <v>135</v>
      </c>
      <c r="D348" s="92" t="s">
        <v>84</v>
      </c>
      <c r="E348" s="92" t="s">
        <v>158</v>
      </c>
      <c r="F348" s="17">
        <v>10526268</v>
      </c>
      <c r="G348" s="18">
        <f t="shared" si="5"/>
        <v>4.464497768819882</v>
      </c>
      <c r="H348" s="17">
        <v>10056323</v>
      </c>
      <c r="I348" s="85">
        <f>1000000+9526268-469945-8145240+4914208-145004-4500</f>
        <v>6675787</v>
      </c>
      <c r="J348" s="78"/>
      <c r="L348" s="78"/>
    </row>
    <row r="349" spans="1:12" s="20" customFormat="1" ht="45.75">
      <c r="A349" s="14"/>
      <c r="B349" s="14">
        <v>170703</v>
      </c>
      <c r="C349" s="166" t="s">
        <v>135</v>
      </c>
      <c r="D349" s="92" t="s">
        <v>84</v>
      </c>
      <c r="E349" s="92" t="s">
        <v>178</v>
      </c>
      <c r="F349" s="17">
        <v>3268607</v>
      </c>
      <c r="G349" s="18">
        <f t="shared" si="5"/>
        <v>83.70688186129443</v>
      </c>
      <c r="H349" s="85">
        <v>532558</v>
      </c>
      <c r="I349" s="85">
        <v>532558</v>
      </c>
      <c r="J349" s="78"/>
      <c r="L349" s="78"/>
    </row>
    <row r="350" spans="1:12" s="20" customFormat="1" ht="45.75">
      <c r="A350" s="14"/>
      <c r="B350" s="14">
        <v>170703</v>
      </c>
      <c r="C350" s="166" t="s">
        <v>135</v>
      </c>
      <c r="D350" s="92" t="s">
        <v>84</v>
      </c>
      <c r="E350" s="15" t="s">
        <v>432</v>
      </c>
      <c r="F350" s="17">
        <v>389279</v>
      </c>
      <c r="G350" s="18">
        <f t="shared" si="5"/>
        <v>82.41441228527611</v>
      </c>
      <c r="H350" s="17">
        <v>68457</v>
      </c>
      <c r="I350" s="85">
        <v>654</v>
      </c>
      <c r="J350" s="78"/>
      <c r="L350" s="78"/>
    </row>
    <row r="351" spans="1:12" s="20" customFormat="1" ht="45.75">
      <c r="A351" s="14"/>
      <c r="B351" s="14">
        <v>170703</v>
      </c>
      <c r="C351" s="166" t="s">
        <v>135</v>
      </c>
      <c r="D351" s="92" t="s">
        <v>84</v>
      </c>
      <c r="E351" s="15" t="s">
        <v>398</v>
      </c>
      <c r="F351" s="17">
        <v>1000000</v>
      </c>
      <c r="G351" s="18">
        <f t="shared" si="5"/>
        <v>3.8079000000000036</v>
      </c>
      <c r="H351" s="17">
        <v>961921</v>
      </c>
      <c r="I351" s="85">
        <v>537060</v>
      </c>
      <c r="J351" s="78"/>
      <c r="L351" s="78"/>
    </row>
    <row r="352" spans="1:12" s="20" customFormat="1" ht="45.75">
      <c r="A352" s="14"/>
      <c r="B352" s="14">
        <v>170703</v>
      </c>
      <c r="C352" s="166" t="s">
        <v>135</v>
      </c>
      <c r="D352" s="92" t="s">
        <v>84</v>
      </c>
      <c r="E352" s="15" t="s">
        <v>399</v>
      </c>
      <c r="F352" s="17">
        <v>489913</v>
      </c>
      <c r="G352" s="18">
        <f t="shared" si="5"/>
        <v>0</v>
      </c>
      <c r="H352" s="17">
        <v>489913</v>
      </c>
      <c r="I352" s="17">
        <v>489913</v>
      </c>
      <c r="J352" s="78"/>
      <c r="L352" s="78"/>
    </row>
    <row r="353" spans="1:12" s="20" customFormat="1" ht="45.75">
      <c r="A353" s="14"/>
      <c r="B353" s="14">
        <v>170703</v>
      </c>
      <c r="C353" s="166" t="s">
        <v>135</v>
      </c>
      <c r="D353" s="92" t="s">
        <v>84</v>
      </c>
      <c r="E353" s="15" t="s">
        <v>400</v>
      </c>
      <c r="F353" s="17">
        <v>383378</v>
      </c>
      <c r="G353" s="18">
        <f t="shared" si="5"/>
        <v>86.8539665812853</v>
      </c>
      <c r="H353" s="85">
        <v>50399</v>
      </c>
      <c r="I353" s="85">
        <v>50399</v>
      </c>
      <c r="J353" s="78"/>
      <c r="L353" s="78"/>
    </row>
    <row r="354" spans="1:12" s="20" customFormat="1" ht="45.75">
      <c r="A354" s="14"/>
      <c r="B354" s="14">
        <v>170703</v>
      </c>
      <c r="C354" s="166" t="s">
        <v>135</v>
      </c>
      <c r="D354" s="92" t="s">
        <v>84</v>
      </c>
      <c r="E354" s="15" t="s">
        <v>413</v>
      </c>
      <c r="F354" s="17">
        <v>240000</v>
      </c>
      <c r="G354" s="18">
        <f t="shared" si="5"/>
        <v>52.32208333333334</v>
      </c>
      <c r="H354" s="17">
        <v>114427</v>
      </c>
      <c r="I354" s="85">
        <v>50000</v>
      </c>
      <c r="J354" s="78"/>
      <c r="L354" s="78"/>
    </row>
    <row r="355" spans="1:12" s="20" customFormat="1" ht="45.75">
      <c r="A355" s="14"/>
      <c r="B355" s="14">
        <v>170703</v>
      </c>
      <c r="C355" s="166" t="s">
        <v>135</v>
      </c>
      <c r="D355" s="92" t="s">
        <v>84</v>
      </c>
      <c r="E355" s="15" t="s">
        <v>414</v>
      </c>
      <c r="F355" s="17">
        <v>250000</v>
      </c>
      <c r="G355" s="18">
        <f t="shared" si="5"/>
        <v>0</v>
      </c>
      <c r="H355" s="17">
        <v>250000</v>
      </c>
      <c r="I355" s="85">
        <v>150000</v>
      </c>
      <c r="J355" s="78"/>
      <c r="L355" s="78"/>
    </row>
    <row r="356" spans="1:12" s="20" customFormat="1" ht="45.75">
      <c r="A356" s="14"/>
      <c r="B356" s="14">
        <v>170703</v>
      </c>
      <c r="C356" s="166" t="s">
        <v>135</v>
      </c>
      <c r="D356" s="92" t="s">
        <v>84</v>
      </c>
      <c r="E356" s="15" t="s">
        <v>448</v>
      </c>
      <c r="F356" s="17">
        <v>208941</v>
      </c>
      <c r="G356" s="18">
        <f t="shared" si="5"/>
        <v>0</v>
      </c>
      <c r="H356" s="17">
        <v>208941</v>
      </c>
      <c r="I356" s="85">
        <v>208941</v>
      </c>
      <c r="J356" s="78"/>
      <c r="L356" s="78"/>
    </row>
    <row r="357" spans="1:12" s="20" customFormat="1" ht="45.75">
      <c r="A357" s="14"/>
      <c r="B357" s="14">
        <v>170703</v>
      </c>
      <c r="C357" s="166" t="s">
        <v>135</v>
      </c>
      <c r="D357" s="92" t="s">
        <v>84</v>
      </c>
      <c r="E357" s="92" t="s">
        <v>147</v>
      </c>
      <c r="F357" s="17">
        <v>4797126</v>
      </c>
      <c r="G357" s="18">
        <f t="shared" si="5"/>
        <v>2.543189401320717</v>
      </c>
      <c r="H357" s="17">
        <v>4675126</v>
      </c>
      <c r="I357" s="85">
        <v>13950</v>
      </c>
      <c r="J357" s="78"/>
      <c r="L357" s="78"/>
    </row>
    <row r="358" spans="1:12" s="20" customFormat="1" ht="45.75">
      <c r="A358" s="14"/>
      <c r="B358" s="14">
        <v>170703</v>
      </c>
      <c r="C358" s="166" t="s">
        <v>135</v>
      </c>
      <c r="D358" s="92" t="s">
        <v>84</v>
      </c>
      <c r="E358" s="92" t="s">
        <v>79</v>
      </c>
      <c r="F358" s="17">
        <v>250000</v>
      </c>
      <c r="G358" s="18">
        <f t="shared" si="5"/>
        <v>0</v>
      </c>
      <c r="H358" s="17">
        <v>250000</v>
      </c>
      <c r="I358" s="85">
        <v>250000</v>
      </c>
      <c r="J358" s="78"/>
      <c r="L358" s="78"/>
    </row>
    <row r="359" spans="1:12" s="20" customFormat="1" ht="45.75">
      <c r="A359" s="14"/>
      <c r="B359" s="14">
        <v>170703</v>
      </c>
      <c r="C359" s="166" t="s">
        <v>135</v>
      </c>
      <c r="D359" s="92" t="s">
        <v>84</v>
      </c>
      <c r="E359" s="92" t="s">
        <v>159</v>
      </c>
      <c r="F359" s="17"/>
      <c r="G359" s="18"/>
      <c r="H359" s="17"/>
      <c r="I359" s="19">
        <f>'[1]Місто'!$O$280-I358-I357-I356-I355-I354-I353-I352-I351-I350-I349-I348-I347-I345-I344-I343-I342</f>
        <v>26621486</v>
      </c>
      <c r="J359" s="78"/>
      <c r="L359" s="78"/>
    </row>
    <row r="360" spans="1:12" s="20" customFormat="1" ht="45.75">
      <c r="A360" s="14"/>
      <c r="B360" s="14">
        <v>180409</v>
      </c>
      <c r="C360" s="166" t="s">
        <v>114</v>
      </c>
      <c r="D360" s="15" t="s">
        <v>253</v>
      </c>
      <c r="E360" s="15" t="s">
        <v>268</v>
      </c>
      <c r="F360" s="17"/>
      <c r="G360" s="18"/>
      <c r="H360" s="17"/>
      <c r="I360" s="17">
        <f>SUM(I362:I369)</f>
        <v>56396870</v>
      </c>
      <c r="J360" s="78"/>
      <c r="L360" s="78"/>
    </row>
    <row r="361" spans="1:12" s="20" customFormat="1" ht="15.75">
      <c r="A361" s="14"/>
      <c r="B361" s="14"/>
      <c r="C361" s="58"/>
      <c r="D361" s="15"/>
      <c r="E361" s="15" t="s">
        <v>309</v>
      </c>
      <c r="F361" s="17"/>
      <c r="G361" s="18"/>
      <c r="H361" s="17"/>
      <c r="I361" s="19"/>
      <c r="J361" s="78"/>
      <c r="L361" s="78"/>
    </row>
    <row r="362" spans="1:9" s="103" customFormat="1" ht="61.5">
      <c r="A362" s="101"/>
      <c r="B362" s="101"/>
      <c r="C362" s="173"/>
      <c r="D362" s="102"/>
      <c r="E362" s="89" t="s">
        <v>194</v>
      </c>
      <c r="F362" s="85"/>
      <c r="G362" s="87"/>
      <c r="H362" s="85"/>
      <c r="I362" s="86">
        <f>4351000+112800</f>
        <v>4463800</v>
      </c>
    </row>
    <row r="363" spans="1:9" s="103" customFormat="1" ht="143.25" customHeight="1">
      <c r="A363" s="101"/>
      <c r="B363" s="101"/>
      <c r="C363" s="173"/>
      <c r="D363" s="102"/>
      <c r="E363" s="92" t="s">
        <v>202</v>
      </c>
      <c r="F363" s="85"/>
      <c r="G363" s="87"/>
      <c r="H363" s="85"/>
      <c r="I363" s="86">
        <f>12552456+7299489</f>
        <v>19851945</v>
      </c>
    </row>
    <row r="364" spans="1:9" s="103" customFormat="1" ht="91.5">
      <c r="A364" s="101"/>
      <c r="B364" s="101"/>
      <c r="C364" s="173"/>
      <c r="D364" s="102"/>
      <c r="E364" s="92" t="s">
        <v>192</v>
      </c>
      <c r="F364" s="85"/>
      <c r="G364" s="87"/>
      <c r="H364" s="85"/>
      <c r="I364" s="86">
        <f>1586560+41200+45006+23894+880600</f>
        <v>2577260</v>
      </c>
    </row>
    <row r="365" spans="1:9" s="103" customFormat="1" ht="76.5">
      <c r="A365" s="101"/>
      <c r="B365" s="101"/>
      <c r="C365" s="173"/>
      <c r="D365" s="102"/>
      <c r="E365" s="92" t="s">
        <v>193</v>
      </c>
      <c r="F365" s="85"/>
      <c r="G365" s="87"/>
      <c r="H365" s="85"/>
      <c r="I365" s="85">
        <v>5875640</v>
      </c>
    </row>
    <row r="366" spans="1:9" s="103" customFormat="1" ht="77.25">
      <c r="A366" s="101"/>
      <c r="B366" s="101"/>
      <c r="C366" s="173"/>
      <c r="D366" s="102"/>
      <c r="E366" s="92" t="s">
        <v>168</v>
      </c>
      <c r="F366" s="85"/>
      <c r="G366" s="87"/>
      <c r="H366" s="85"/>
      <c r="I366" s="85">
        <f>4690800+3312740</f>
        <v>8003540</v>
      </c>
    </row>
    <row r="367" spans="1:9" s="103" customFormat="1" ht="91.5">
      <c r="A367" s="101"/>
      <c r="B367" s="101"/>
      <c r="C367" s="173"/>
      <c r="D367" s="102"/>
      <c r="E367" s="92" t="s">
        <v>201</v>
      </c>
      <c r="F367" s="85"/>
      <c r="G367" s="87"/>
      <c r="H367" s="85"/>
      <c r="I367" s="85">
        <f>5362200+119994</f>
        <v>5482194</v>
      </c>
    </row>
    <row r="368" spans="1:9" s="103" customFormat="1" ht="106.5">
      <c r="A368" s="101"/>
      <c r="B368" s="101"/>
      <c r="C368" s="173"/>
      <c r="D368" s="102"/>
      <c r="E368" s="92" t="s">
        <v>186</v>
      </c>
      <c r="F368" s="85"/>
      <c r="G368" s="87"/>
      <c r="H368" s="85"/>
      <c r="I368" s="85">
        <f>6856643+166036+3119812</f>
        <v>10142491</v>
      </c>
    </row>
    <row r="369" spans="1:12" s="20" customFormat="1" ht="56.25" customHeight="1" hidden="1">
      <c r="A369" s="14"/>
      <c r="B369" s="14"/>
      <c r="C369" s="58"/>
      <c r="D369" s="15"/>
      <c r="E369" s="92" t="s">
        <v>98</v>
      </c>
      <c r="F369" s="85"/>
      <c r="G369" s="87"/>
      <c r="H369" s="85"/>
      <c r="I369" s="86">
        <v>0</v>
      </c>
      <c r="J369" s="78"/>
      <c r="L369" s="78"/>
    </row>
    <row r="370" spans="1:12" s="20" customFormat="1" ht="33" customHeight="1" hidden="1">
      <c r="A370" s="14"/>
      <c r="B370" s="14"/>
      <c r="C370" s="58"/>
      <c r="D370" s="15"/>
      <c r="E370" s="15" t="s">
        <v>374</v>
      </c>
      <c r="F370" s="17">
        <v>0</v>
      </c>
      <c r="G370" s="18"/>
      <c r="H370" s="17"/>
      <c r="I370" s="19">
        <v>0</v>
      </c>
      <c r="J370" s="78"/>
      <c r="L370" s="78"/>
    </row>
    <row r="371" spans="1:12" s="20" customFormat="1" ht="30.75" hidden="1">
      <c r="A371" s="14"/>
      <c r="B371" s="14"/>
      <c r="C371" s="58"/>
      <c r="D371" s="15"/>
      <c r="E371" s="15" t="s">
        <v>20</v>
      </c>
      <c r="F371" s="17"/>
      <c r="G371" s="18"/>
      <c r="H371" s="17"/>
      <c r="I371" s="19"/>
      <c r="J371" s="78"/>
      <c r="L371" s="78"/>
    </row>
    <row r="372" spans="1:12" s="20" customFormat="1" ht="45.75" hidden="1">
      <c r="A372" s="14"/>
      <c r="B372" s="14"/>
      <c r="C372" s="58"/>
      <c r="D372" s="15"/>
      <c r="E372" s="15" t="s">
        <v>304</v>
      </c>
      <c r="F372" s="17"/>
      <c r="G372" s="18"/>
      <c r="H372" s="17"/>
      <c r="I372" s="19"/>
      <c r="J372" s="78"/>
      <c r="L372" s="78"/>
    </row>
    <row r="373" spans="1:12" s="20" customFormat="1" ht="60.75" hidden="1">
      <c r="A373" s="14"/>
      <c r="B373" s="14"/>
      <c r="C373" s="58"/>
      <c r="D373" s="15"/>
      <c r="E373" s="15" t="s">
        <v>308</v>
      </c>
      <c r="F373" s="17"/>
      <c r="G373" s="18"/>
      <c r="H373" s="17"/>
      <c r="I373" s="19"/>
      <c r="J373" s="78"/>
      <c r="L373" s="78"/>
    </row>
    <row r="374" spans="1:12" s="20" customFormat="1" ht="15.75">
      <c r="A374" s="14"/>
      <c r="B374" s="14">
        <v>200700</v>
      </c>
      <c r="C374" s="166" t="s">
        <v>120</v>
      </c>
      <c r="D374" s="15" t="s">
        <v>364</v>
      </c>
      <c r="E374" s="15" t="s">
        <v>510</v>
      </c>
      <c r="F374" s="17"/>
      <c r="G374" s="18"/>
      <c r="H374" s="17"/>
      <c r="I374" s="19">
        <f>'[1]Місто'!$O$285</f>
        <v>3823526</v>
      </c>
      <c r="J374" s="78"/>
      <c r="L374" s="78"/>
    </row>
    <row r="375" spans="1:12" s="20" customFormat="1" ht="15.75">
      <c r="A375" s="14"/>
      <c r="B375" s="14">
        <v>250404</v>
      </c>
      <c r="C375" s="166" t="s">
        <v>136</v>
      </c>
      <c r="D375" s="92" t="s">
        <v>107</v>
      </c>
      <c r="E375" s="92" t="s">
        <v>510</v>
      </c>
      <c r="F375" s="17"/>
      <c r="G375" s="18"/>
      <c r="H375" s="17"/>
      <c r="I375" s="19">
        <f>'[1]Місто'!$O$295</f>
        <v>609606</v>
      </c>
      <c r="J375" s="78"/>
      <c r="L375" s="78"/>
    </row>
    <row r="376" spans="1:12" s="26" customFormat="1" ht="31.5" hidden="1">
      <c r="A376" s="23"/>
      <c r="B376" s="23" t="s">
        <v>262</v>
      </c>
      <c r="C376" s="172"/>
      <c r="D376" s="24" t="s">
        <v>263</v>
      </c>
      <c r="E376" s="25"/>
      <c r="F376" s="25"/>
      <c r="G376" s="27"/>
      <c r="H376" s="25"/>
      <c r="I376" s="25">
        <f>I377</f>
        <v>0</v>
      </c>
      <c r="J376" s="75"/>
      <c r="L376" s="77"/>
    </row>
    <row r="377" spans="1:12" s="20" customFormat="1" ht="15.75" hidden="1">
      <c r="A377" s="14"/>
      <c r="B377" s="14" t="s">
        <v>508</v>
      </c>
      <c r="C377" s="58"/>
      <c r="D377" s="15" t="s">
        <v>509</v>
      </c>
      <c r="E377" s="15" t="s">
        <v>510</v>
      </c>
      <c r="F377" s="17"/>
      <c r="G377" s="18"/>
      <c r="H377" s="17"/>
      <c r="I377" s="19"/>
      <c r="J377" s="78"/>
      <c r="L377" s="78"/>
    </row>
    <row r="378" spans="1:12" s="20" customFormat="1" ht="15.75" hidden="1">
      <c r="A378" s="14"/>
      <c r="B378" s="14"/>
      <c r="C378" s="58"/>
      <c r="D378" s="15"/>
      <c r="E378" s="15" t="s">
        <v>513</v>
      </c>
      <c r="F378" s="17"/>
      <c r="G378" s="18"/>
      <c r="H378" s="17"/>
      <c r="I378" s="19"/>
      <c r="J378" s="78"/>
      <c r="L378" s="78"/>
    </row>
    <row r="379" spans="1:12" s="20" customFormat="1" ht="15.75" hidden="1">
      <c r="A379" s="14"/>
      <c r="B379" s="14"/>
      <c r="C379" s="58"/>
      <c r="D379" s="15"/>
      <c r="E379" s="15"/>
      <c r="F379" s="17"/>
      <c r="G379" s="87"/>
      <c r="H379" s="17"/>
      <c r="I379" s="19"/>
      <c r="J379" s="78"/>
      <c r="L379" s="78"/>
    </row>
    <row r="380" spans="1:12" s="20" customFormat="1" ht="31.5">
      <c r="A380" s="23"/>
      <c r="B380" s="23" t="s">
        <v>332</v>
      </c>
      <c r="C380" s="172"/>
      <c r="D380" s="24" t="s">
        <v>333</v>
      </c>
      <c r="E380" s="24"/>
      <c r="F380" s="25"/>
      <c r="G380" s="27"/>
      <c r="H380" s="25"/>
      <c r="I380" s="25">
        <f>I382+I384+I389</f>
        <v>1213290</v>
      </c>
      <c r="J380" s="81">
        <f>'[1]Місто'!$O$309-I380</f>
        <v>0</v>
      </c>
      <c r="K380" s="59"/>
      <c r="L380" s="81"/>
    </row>
    <row r="381" spans="1:12" s="20" customFormat="1" ht="15.75" hidden="1">
      <c r="A381" s="14"/>
      <c r="B381" s="14" t="s">
        <v>508</v>
      </c>
      <c r="C381" s="58"/>
      <c r="D381" s="15" t="s">
        <v>509</v>
      </c>
      <c r="E381" s="15" t="s">
        <v>510</v>
      </c>
      <c r="F381" s="17"/>
      <c r="G381" s="18"/>
      <c r="H381" s="17"/>
      <c r="I381" s="19"/>
      <c r="J381" s="78"/>
      <c r="L381" s="78"/>
    </row>
    <row r="382" spans="1:12" s="20" customFormat="1" ht="30.75">
      <c r="A382" s="14"/>
      <c r="B382" s="14">
        <v>150202</v>
      </c>
      <c r="C382" s="166" t="s">
        <v>137</v>
      </c>
      <c r="D382" s="15" t="s">
        <v>21</v>
      </c>
      <c r="E382" s="15" t="s">
        <v>22</v>
      </c>
      <c r="F382" s="17"/>
      <c r="G382" s="18"/>
      <c r="H382" s="17"/>
      <c r="I382" s="19">
        <f>'[1]Місто'!$O$313</f>
        <v>887560</v>
      </c>
      <c r="J382" s="78"/>
      <c r="L382" s="78"/>
    </row>
    <row r="383" spans="1:12" s="20" customFormat="1" ht="15.75" hidden="1">
      <c r="A383" s="14"/>
      <c r="B383" s="14"/>
      <c r="C383" s="58"/>
      <c r="D383" s="15"/>
      <c r="E383" s="15" t="s">
        <v>513</v>
      </c>
      <c r="F383" s="17"/>
      <c r="G383" s="18"/>
      <c r="H383" s="17"/>
      <c r="I383" s="40"/>
      <c r="J383" s="78"/>
      <c r="L383" s="78"/>
    </row>
    <row r="384" spans="1:12" s="20" customFormat="1" ht="15.75">
      <c r="A384" s="14"/>
      <c r="B384" s="14" t="s">
        <v>243</v>
      </c>
      <c r="C384" s="166" t="s">
        <v>136</v>
      </c>
      <c r="D384" s="15" t="s">
        <v>244</v>
      </c>
      <c r="E384" s="15" t="s">
        <v>420</v>
      </c>
      <c r="F384" s="17"/>
      <c r="G384" s="18"/>
      <c r="H384" s="17"/>
      <c r="I384" s="40">
        <f>'[1]Місто'!$O$317</f>
        <v>72000</v>
      </c>
      <c r="J384" s="78"/>
      <c r="L384" s="78"/>
    </row>
    <row r="385" spans="1:12" s="20" customFormat="1" ht="15.75" hidden="1">
      <c r="A385" s="14"/>
      <c r="B385" s="14"/>
      <c r="C385" s="58"/>
      <c r="D385" s="15"/>
      <c r="E385" s="15" t="s">
        <v>513</v>
      </c>
      <c r="F385" s="17"/>
      <c r="G385" s="18"/>
      <c r="H385" s="17"/>
      <c r="I385" s="40"/>
      <c r="J385" s="78"/>
      <c r="L385" s="78"/>
    </row>
    <row r="386" spans="1:12" s="20" customFormat="1" ht="31.5" hidden="1">
      <c r="A386" s="23"/>
      <c r="B386" s="23" t="s">
        <v>264</v>
      </c>
      <c r="C386" s="172"/>
      <c r="D386" s="64" t="s">
        <v>265</v>
      </c>
      <c r="E386" s="64"/>
      <c r="F386" s="64"/>
      <c r="G386" s="64"/>
      <c r="H386" s="64"/>
      <c r="I386" s="90">
        <f>I387</f>
        <v>0</v>
      </c>
      <c r="J386" s="81"/>
      <c r="L386" s="78"/>
    </row>
    <row r="387" spans="1:12" s="20" customFormat="1" ht="15.75" hidden="1">
      <c r="A387" s="14"/>
      <c r="B387" s="14" t="s">
        <v>508</v>
      </c>
      <c r="C387" s="58"/>
      <c r="D387" s="15" t="s">
        <v>509</v>
      </c>
      <c r="E387" s="15" t="s">
        <v>510</v>
      </c>
      <c r="F387" s="17"/>
      <c r="G387" s="18"/>
      <c r="H387" s="17"/>
      <c r="I387" s="19"/>
      <c r="J387" s="78"/>
      <c r="L387" s="78"/>
    </row>
    <row r="388" spans="1:12" s="20" customFormat="1" ht="15.75" hidden="1">
      <c r="A388" s="14"/>
      <c r="B388" s="14"/>
      <c r="C388" s="58"/>
      <c r="D388" s="15"/>
      <c r="E388" s="15" t="s">
        <v>513</v>
      </c>
      <c r="F388" s="17"/>
      <c r="G388" s="18"/>
      <c r="H388" s="17"/>
      <c r="I388" s="19"/>
      <c r="J388" s="78"/>
      <c r="L388" s="78"/>
    </row>
    <row r="389" spans="1:12" s="20" customFormat="1" ht="30.75">
      <c r="A389" s="14"/>
      <c r="B389" s="14">
        <v>250404</v>
      </c>
      <c r="C389" s="166" t="s">
        <v>136</v>
      </c>
      <c r="D389" s="92" t="s">
        <v>107</v>
      </c>
      <c r="E389" s="89" t="s">
        <v>108</v>
      </c>
      <c r="F389" s="17"/>
      <c r="G389" s="18"/>
      <c r="H389" s="17"/>
      <c r="I389" s="19">
        <f>'[1]Місто'!$O$318</f>
        <v>253730</v>
      </c>
      <c r="J389" s="78"/>
      <c r="L389" s="78"/>
    </row>
    <row r="390" spans="1:12" s="20" customFormat="1" ht="15.75">
      <c r="A390" s="14"/>
      <c r="B390" s="23">
        <v>50</v>
      </c>
      <c r="C390" s="172"/>
      <c r="D390" s="64" t="s">
        <v>177</v>
      </c>
      <c r="E390" s="64"/>
      <c r="F390" s="25"/>
      <c r="G390" s="25"/>
      <c r="H390" s="25"/>
      <c r="I390" s="25">
        <f>I391</f>
        <v>39348</v>
      </c>
      <c r="J390" s="81">
        <f>'[1]Місто'!$O$320-I390</f>
        <v>0</v>
      </c>
      <c r="L390" s="78"/>
    </row>
    <row r="391" spans="1:12" s="20" customFormat="1" ht="15.75">
      <c r="A391" s="14"/>
      <c r="B391" s="14">
        <v>10116</v>
      </c>
      <c r="C391" s="166" t="s">
        <v>113</v>
      </c>
      <c r="D391" s="15" t="s">
        <v>509</v>
      </c>
      <c r="E391" s="89"/>
      <c r="F391" s="17"/>
      <c r="G391" s="18"/>
      <c r="H391" s="17"/>
      <c r="I391" s="19">
        <f>'[1]Місто'!$O$322</f>
        <v>39348</v>
      </c>
      <c r="J391" s="78"/>
      <c r="L391" s="78"/>
    </row>
    <row r="392" spans="1:12" s="20" customFormat="1" ht="31.5">
      <c r="A392" s="23"/>
      <c r="B392" s="23">
        <v>60</v>
      </c>
      <c r="C392" s="172"/>
      <c r="D392" s="64" t="s">
        <v>14</v>
      </c>
      <c r="E392" s="64"/>
      <c r="F392" s="25">
        <f>F394+F395+F396+F397+F398+F399+F400+F401+F402+F403</f>
        <v>61708433</v>
      </c>
      <c r="G392" s="25"/>
      <c r="H392" s="25">
        <f>H394+H395+H396+H397+H398+H399+H400+H401+H402+H403</f>
        <v>51043712</v>
      </c>
      <c r="I392" s="25">
        <f>I394+I395+I396+I397+I398+I399+I400+I401+I402+I403</f>
        <v>11279308</v>
      </c>
      <c r="J392" s="81">
        <f>'[1]Місто'!$O$328-I392</f>
        <v>0</v>
      </c>
      <c r="L392" s="78"/>
    </row>
    <row r="393" spans="1:12" s="20" customFormat="1" ht="15.75" hidden="1">
      <c r="A393" s="14"/>
      <c r="B393" s="14" t="s">
        <v>508</v>
      </c>
      <c r="C393" s="58"/>
      <c r="D393" s="15" t="s">
        <v>509</v>
      </c>
      <c r="E393" s="15" t="s">
        <v>510</v>
      </c>
      <c r="F393" s="17"/>
      <c r="G393" s="18"/>
      <c r="H393" s="17"/>
      <c r="I393" s="19"/>
      <c r="J393" s="78"/>
      <c r="L393" s="78"/>
    </row>
    <row r="394" spans="1:12" s="20" customFormat="1" ht="30.75">
      <c r="A394" s="14"/>
      <c r="B394" s="14">
        <v>200700</v>
      </c>
      <c r="C394" s="166" t="s">
        <v>120</v>
      </c>
      <c r="D394" s="92" t="s">
        <v>55</v>
      </c>
      <c r="E394" s="92" t="s">
        <v>189</v>
      </c>
      <c r="F394" s="19">
        <v>12057823</v>
      </c>
      <c r="G394" s="87">
        <f aca="true" t="shared" si="6" ref="G394:G403">100-(H394/F394)*100</f>
        <v>0.6073401475539981</v>
      </c>
      <c r="H394" s="17">
        <v>11984591</v>
      </c>
      <c r="I394" s="19">
        <v>3000000</v>
      </c>
      <c r="J394" s="78"/>
      <c r="L394" s="78"/>
    </row>
    <row r="395" spans="1:12" s="20" customFormat="1" ht="45.75">
      <c r="A395" s="14"/>
      <c r="B395" s="14">
        <v>200700</v>
      </c>
      <c r="C395" s="166" t="s">
        <v>120</v>
      </c>
      <c r="D395" s="92" t="s">
        <v>55</v>
      </c>
      <c r="E395" s="92" t="s">
        <v>209</v>
      </c>
      <c r="F395" s="19">
        <f>10055245</f>
        <v>10055245</v>
      </c>
      <c r="G395" s="87">
        <f t="shared" si="6"/>
        <v>66.69794719074474</v>
      </c>
      <c r="H395" s="19">
        <v>3348603</v>
      </c>
      <c r="I395" s="19">
        <v>2300000</v>
      </c>
      <c r="J395" s="78"/>
      <c r="L395" s="78"/>
    </row>
    <row r="396" spans="1:12" s="20" customFormat="1" ht="45.75">
      <c r="A396" s="14"/>
      <c r="B396" s="14">
        <v>200700</v>
      </c>
      <c r="C396" s="166" t="s">
        <v>120</v>
      </c>
      <c r="D396" s="92" t="s">
        <v>55</v>
      </c>
      <c r="E396" s="92" t="s">
        <v>210</v>
      </c>
      <c r="F396" s="17">
        <v>12260502</v>
      </c>
      <c r="G396" s="87">
        <f t="shared" si="6"/>
        <v>2.5838827806561255</v>
      </c>
      <c r="H396" s="17">
        <v>11943705</v>
      </c>
      <c r="I396" s="86">
        <v>722</v>
      </c>
      <c r="J396" s="78"/>
      <c r="L396" s="78"/>
    </row>
    <row r="397" spans="1:12" s="20" customFormat="1" ht="45.75">
      <c r="A397" s="14"/>
      <c r="B397" s="14">
        <v>200700</v>
      </c>
      <c r="C397" s="166" t="s">
        <v>120</v>
      </c>
      <c r="D397" s="92" t="s">
        <v>55</v>
      </c>
      <c r="E397" s="92" t="s">
        <v>211</v>
      </c>
      <c r="F397" s="17">
        <f>15854810</f>
        <v>15854810</v>
      </c>
      <c r="G397" s="87">
        <f t="shared" si="6"/>
        <v>0</v>
      </c>
      <c r="H397" s="17">
        <v>15854810</v>
      </c>
      <c r="I397" s="86">
        <v>3910738</v>
      </c>
      <c r="J397" s="78"/>
      <c r="L397" s="78"/>
    </row>
    <row r="398" spans="1:12" s="20" customFormat="1" ht="60.75">
      <c r="A398" s="14"/>
      <c r="B398" s="14">
        <v>200700</v>
      </c>
      <c r="C398" s="166" t="s">
        <v>120</v>
      </c>
      <c r="D398" s="92" t="s">
        <v>55</v>
      </c>
      <c r="E398" s="15" t="s">
        <v>359</v>
      </c>
      <c r="F398" s="17">
        <v>5131557</v>
      </c>
      <c r="G398" s="87">
        <f t="shared" si="6"/>
        <v>9.140032937371643</v>
      </c>
      <c r="H398" s="17">
        <v>4662531</v>
      </c>
      <c r="I398" s="86">
        <f>1500000-118626</f>
        <v>1381374</v>
      </c>
      <c r="J398" s="78"/>
      <c r="L398" s="78"/>
    </row>
    <row r="399" spans="1:12" s="20" customFormat="1" ht="45.75" hidden="1">
      <c r="A399" s="14"/>
      <c r="B399" s="14">
        <v>200700</v>
      </c>
      <c r="C399" s="166" t="s">
        <v>120</v>
      </c>
      <c r="D399" s="15" t="s">
        <v>364</v>
      </c>
      <c r="E399" s="92" t="s">
        <v>181</v>
      </c>
      <c r="F399" s="19"/>
      <c r="G399" s="87"/>
      <c r="H399" s="19"/>
      <c r="I399" s="86">
        <f>942000-942000</f>
        <v>0</v>
      </c>
      <c r="J399" s="78"/>
      <c r="L399" s="78"/>
    </row>
    <row r="400" spans="1:12" s="20" customFormat="1" ht="45.75">
      <c r="A400" s="14"/>
      <c r="B400" s="14">
        <v>200700</v>
      </c>
      <c r="C400" s="166" t="s">
        <v>120</v>
      </c>
      <c r="D400" s="92" t="s">
        <v>55</v>
      </c>
      <c r="E400" s="92" t="s">
        <v>212</v>
      </c>
      <c r="F400" s="19">
        <v>4693146</v>
      </c>
      <c r="G400" s="87">
        <f t="shared" si="6"/>
        <v>36.37983987713146</v>
      </c>
      <c r="H400" s="19">
        <v>2985787</v>
      </c>
      <c r="I400" s="19">
        <v>422789</v>
      </c>
      <c r="J400" s="78"/>
      <c r="L400" s="78"/>
    </row>
    <row r="401" spans="1:12" s="20" customFormat="1" ht="45.75">
      <c r="A401" s="14"/>
      <c r="B401" s="14">
        <v>200700</v>
      </c>
      <c r="C401" s="166" t="s">
        <v>120</v>
      </c>
      <c r="D401" s="92" t="s">
        <v>55</v>
      </c>
      <c r="E401" s="92" t="s">
        <v>213</v>
      </c>
      <c r="F401" s="19">
        <v>515821</v>
      </c>
      <c r="G401" s="87">
        <f t="shared" si="6"/>
        <v>80.87689334090702</v>
      </c>
      <c r="H401" s="19">
        <v>98641</v>
      </c>
      <c r="I401" s="19">
        <v>98641</v>
      </c>
      <c r="J401" s="78"/>
      <c r="L401" s="78"/>
    </row>
    <row r="402" spans="1:12" s="20" customFormat="1" ht="45.75">
      <c r="A402" s="14"/>
      <c r="B402" s="14">
        <v>200700</v>
      </c>
      <c r="C402" s="166" t="s">
        <v>120</v>
      </c>
      <c r="D402" s="92" t="s">
        <v>55</v>
      </c>
      <c r="E402" s="15" t="s">
        <v>362</v>
      </c>
      <c r="F402" s="19">
        <v>901629</v>
      </c>
      <c r="G402" s="87">
        <f t="shared" si="6"/>
        <v>90.61132683176783</v>
      </c>
      <c r="H402" s="19">
        <v>84651</v>
      </c>
      <c r="I402" s="19">
        <v>84651</v>
      </c>
      <c r="J402" s="78"/>
      <c r="L402" s="78"/>
    </row>
    <row r="403" spans="1:12" s="20" customFormat="1" ht="45.75">
      <c r="A403" s="14"/>
      <c r="B403" s="14">
        <v>200700</v>
      </c>
      <c r="C403" s="166" t="s">
        <v>120</v>
      </c>
      <c r="D403" s="92" t="s">
        <v>55</v>
      </c>
      <c r="E403" s="92" t="s">
        <v>51</v>
      </c>
      <c r="F403" s="19">
        <v>237900</v>
      </c>
      <c r="G403" s="87">
        <f t="shared" si="6"/>
        <v>66.20722992854141</v>
      </c>
      <c r="H403" s="19">
        <v>80393</v>
      </c>
      <c r="I403" s="19">
        <v>80393</v>
      </c>
      <c r="J403" s="78"/>
      <c r="L403" s="78"/>
    </row>
    <row r="404" spans="1:12" s="20" customFormat="1" ht="15.75" hidden="1">
      <c r="A404" s="14"/>
      <c r="B404" s="14"/>
      <c r="C404" s="58"/>
      <c r="D404" s="15"/>
      <c r="E404" s="15"/>
      <c r="F404" s="17"/>
      <c r="G404" s="18"/>
      <c r="H404" s="17"/>
      <c r="I404" s="19"/>
      <c r="J404" s="78"/>
      <c r="L404" s="78"/>
    </row>
    <row r="405" spans="1:12" s="20" customFormat="1" ht="15.75" hidden="1">
      <c r="A405" s="14"/>
      <c r="B405" s="14"/>
      <c r="C405" s="58"/>
      <c r="D405" s="15"/>
      <c r="E405" s="15"/>
      <c r="F405" s="17"/>
      <c r="G405" s="18"/>
      <c r="H405" s="17"/>
      <c r="I405" s="19"/>
      <c r="J405" s="78"/>
      <c r="L405" s="78"/>
    </row>
    <row r="406" spans="1:12" s="20" customFormat="1" ht="15.75" hidden="1">
      <c r="A406" s="14"/>
      <c r="B406" s="14"/>
      <c r="C406" s="58"/>
      <c r="D406" s="15"/>
      <c r="E406" s="15"/>
      <c r="F406" s="17"/>
      <c r="G406" s="18"/>
      <c r="H406" s="17"/>
      <c r="I406" s="19"/>
      <c r="J406" s="78"/>
      <c r="L406" s="78"/>
    </row>
    <row r="407" spans="1:12" s="20" customFormat="1" ht="30.75" hidden="1">
      <c r="A407" s="14"/>
      <c r="B407" s="14">
        <v>150101</v>
      </c>
      <c r="C407" s="58"/>
      <c r="D407" s="15" t="s">
        <v>354</v>
      </c>
      <c r="E407" s="92"/>
      <c r="F407" s="17"/>
      <c r="G407" s="18"/>
      <c r="H407" s="17"/>
      <c r="I407" s="19"/>
      <c r="J407" s="78"/>
      <c r="L407" s="78"/>
    </row>
    <row r="408" spans="1:12" s="20" customFormat="1" ht="15.75" hidden="1">
      <c r="A408" s="14"/>
      <c r="B408" s="14"/>
      <c r="C408" s="58"/>
      <c r="D408" s="15"/>
      <c r="E408" s="92"/>
      <c r="F408" s="17"/>
      <c r="G408" s="18"/>
      <c r="H408" s="17"/>
      <c r="I408" s="19"/>
      <c r="J408" s="78"/>
      <c r="L408" s="78"/>
    </row>
    <row r="409" spans="1:12" s="26" customFormat="1" ht="47.25">
      <c r="A409" s="23"/>
      <c r="B409" s="23">
        <v>65</v>
      </c>
      <c r="C409" s="172"/>
      <c r="D409" s="24" t="s">
        <v>266</v>
      </c>
      <c r="E409" s="24"/>
      <c r="F409" s="25">
        <f>F410+F412+F413+F414+F416+F435+F421+F424+F417+F418+F419+F420</f>
        <v>6584987</v>
      </c>
      <c r="G409" s="25"/>
      <c r="H409" s="25">
        <f>H410+H412+H413+H414+H416+H435+H421+H424+H417+H418+H419+H420</f>
        <v>5578168</v>
      </c>
      <c r="I409" s="25">
        <f>I410+I412+I413+I414+I416+I435+I421+I424+I417+I418+I419+I420+I423</f>
        <v>54858691</v>
      </c>
      <c r="J409" s="75">
        <f>'[1]Місто'!$O$344-I409</f>
        <v>0</v>
      </c>
      <c r="K409" s="34">
        <f>I412+I413+I414+I416+I417+I418+I419+I420</f>
        <v>5504049</v>
      </c>
      <c r="L409" s="75">
        <f>'[1]Місто'!$O$352-K409</f>
        <v>0</v>
      </c>
    </row>
    <row r="410" spans="1:12" s="20" customFormat="1" ht="15.75">
      <c r="A410" s="14"/>
      <c r="B410" s="14" t="s">
        <v>508</v>
      </c>
      <c r="C410" s="166" t="s">
        <v>113</v>
      </c>
      <c r="D410" s="15" t="s">
        <v>509</v>
      </c>
      <c r="E410" s="92" t="s">
        <v>510</v>
      </c>
      <c r="F410" s="17"/>
      <c r="G410" s="18"/>
      <c r="H410" s="17"/>
      <c r="I410" s="19">
        <f>'[1]Місто'!$O$346</f>
        <v>6986</v>
      </c>
      <c r="J410" s="78"/>
      <c r="L410" s="78"/>
    </row>
    <row r="411" spans="1:12" s="20" customFormat="1" ht="15.75" hidden="1">
      <c r="A411" s="14"/>
      <c r="B411" s="14" t="s">
        <v>243</v>
      </c>
      <c r="C411" s="58"/>
      <c r="D411" s="42" t="s">
        <v>244</v>
      </c>
      <c r="E411" s="42" t="s">
        <v>510</v>
      </c>
      <c r="F411" s="17"/>
      <c r="G411" s="18"/>
      <c r="H411" s="17"/>
      <c r="I411" s="19"/>
      <c r="J411" s="78"/>
      <c r="L411" s="78"/>
    </row>
    <row r="412" spans="1:12" s="20" customFormat="1" ht="56.25">
      <c r="A412" s="14"/>
      <c r="B412" s="14">
        <v>150101</v>
      </c>
      <c r="C412" s="186" t="s">
        <v>114</v>
      </c>
      <c r="D412" s="47" t="s">
        <v>511</v>
      </c>
      <c r="E412" s="118" t="s">
        <v>474</v>
      </c>
      <c r="F412" s="109">
        <v>2355141</v>
      </c>
      <c r="G412" s="18">
        <f aca="true" t="shared" si="7" ref="G412:G420">100-(H412/F412)*100</f>
        <v>29.279775605791755</v>
      </c>
      <c r="H412" s="19">
        <v>1665561</v>
      </c>
      <c r="I412" s="19">
        <v>1665561</v>
      </c>
      <c r="J412" s="78"/>
      <c r="L412" s="78"/>
    </row>
    <row r="413" spans="1:12" s="20" customFormat="1" ht="64.5" customHeight="1">
      <c r="A413" s="14"/>
      <c r="B413" s="14">
        <v>150101</v>
      </c>
      <c r="C413" s="186" t="s">
        <v>114</v>
      </c>
      <c r="D413" s="47" t="s">
        <v>511</v>
      </c>
      <c r="E413" s="118" t="s">
        <v>151</v>
      </c>
      <c r="F413" s="188">
        <v>605465</v>
      </c>
      <c r="G413" s="87">
        <f t="shared" si="7"/>
        <v>29.791812904131532</v>
      </c>
      <c r="H413" s="86">
        <v>425086</v>
      </c>
      <c r="I413" s="86">
        <v>419621</v>
      </c>
      <c r="J413" s="78"/>
      <c r="L413" s="78"/>
    </row>
    <row r="414" spans="1:12" s="20" customFormat="1" ht="56.25">
      <c r="A414" s="14"/>
      <c r="B414" s="14">
        <v>150101</v>
      </c>
      <c r="C414" s="186" t="s">
        <v>114</v>
      </c>
      <c r="D414" s="47" t="s">
        <v>511</v>
      </c>
      <c r="E414" s="118" t="s">
        <v>152</v>
      </c>
      <c r="F414" s="50">
        <v>474716</v>
      </c>
      <c r="G414" s="18">
        <f t="shared" si="7"/>
        <v>28.82986880577019</v>
      </c>
      <c r="H414" s="17">
        <v>337856</v>
      </c>
      <c r="I414" s="19">
        <f>4415+264787</f>
        <v>269202</v>
      </c>
      <c r="J414" s="78"/>
      <c r="L414" s="78"/>
    </row>
    <row r="415" spans="1:12" s="20" customFormat="1" ht="124.5" customHeight="1" hidden="1">
      <c r="A415" s="14"/>
      <c r="B415" s="14">
        <v>150101</v>
      </c>
      <c r="C415" s="187"/>
      <c r="D415" s="47" t="s">
        <v>511</v>
      </c>
      <c r="E415" s="118" t="s">
        <v>476</v>
      </c>
      <c r="F415" s="50"/>
      <c r="G415" s="18"/>
      <c r="H415" s="17"/>
      <c r="I415" s="19"/>
      <c r="J415" s="78"/>
      <c r="L415" s="78"/>
    </row>
    <row r="416" spans="1:12" s="20" customFormat="1" ht="56.25" hidden="1">
      <c r="A416" s="14"/>
      <c r="B416" s="14">
        <v>150101</v>
      </c>
      <c r="C416" s="186" t="s">
        <v>114</v>
      </c>
      <c r="D416" s="47" t="s">
        <v>511</v>
      </c>
      <c r="E416" s="118" t="s">
        <v>150</v>
      </c>
      <c r="F416" s="109"/>
      <c r="G416" s="19"/>
      <c r="H416" s="19"/>
      <c r="I416" s="19"/>
      <c r="J416" s="78"/>
      <c r="L416" s="78"/>
    </row>
    <row r="417" spans="1:12" s="20" customFormat="1" ht="75">
      <c r="A417" s="14"/>
      <c r="B417" s="14">
        <v>150101</v>
      </c>
      <c r="C417" s="166" t="s">
        <v>114</v>
      </c>
      <c r="D417" s="52" t="s">
        <v>511</v>
      </c>
      <c r="E417" s="183" t="s">
        <v>198</v>
      </c>
      <c r="F417" s="109">
        <v>350000</v>
      </c>
      <c r="G417" s="19">
        <f t="shared" si="7"/>
        <v>0</v>
      </c>
      <c r="H417" s="19">
        <v>350000</v>
      </c>
      <c r="I417" s="19">
        <f>300000+50000</f>
        <v>350000</v>
      </c>
      <c r="J417" s="78"/>
      <c r="L417" s="78"/>
    </row>
    <row r="418" spans="1:12" s="20" customFormat="1" ht="37.5">
      <c r="A418" s="14"/>
      <c r="B418" s="14">
        <v>150101</v>
      </c>
      <c r="C418" s="166" t="s">
        <v>114</v>
      </c>
      <c r="D418" s="15" t="s">
        <v>511</v>
      </c>
      <c r="E418" s="118" t="s">
        <v>103</v>
      </c>
      <c r="F418" s="109">
        <v>1450388</v>
      </c>
      <c r="G418" s="19">
        <f t="shared" si="7"/>
        <v>0</v>
      </c>
      <c r="H418" s="19">
        <v>1450388</v>
      </c>
      <c r="I418" s="19">
        <v>1450388</v>
      </c>
      <c r="J418" s="78"/>
      <c r="L418" s="78"/>
    </row>
    <row r="419" spans="1:12" s="20" customFormat="1" ht="75">
      <c r="A419" s="14"/>
      <c r="B419" s="14">
        <v>150101</v>
      </c>
      <c r="C419" s="166" t="s">
        <v>114</v>
      </c>
      <c r="D419" s="15" t="s">
        <v>511</v>
      </c>
      <c r="E419" s="190" t="s">
        <v>190</v>
      </c>
      <c r="F419" s="109">
        <v>874644</v>
      </c>
      <c r="G419" s="19">
        <f t="shared" si="7"/>
        <v>0</v>
      </c>
      <c r="H419" s="19">
        <v>874644</v>
      </c>
      <c r="I419" s="19">
        <v>874644</v>
      </c>
      <c r="J419" s="78"/>
      <c r="L419" s="78"/>
    </row>
    <row r="420" spans="1:12" s="20" customFormat="1" ht="56.25">
      <c r="A420" s="14"/>
      <c r="B420" s="14">
        <v>150101</v>
      </c>
      <c r="C420" s="166" t="s">
        <v>114</v>
      </c>
      <c r="D420" s="15" t="s">
        <v>511</v>
      </c>
      <c r="E420" s="191" t="s">
        <v>185</v>
      </c>
      <c r="F420" s="86">
        <v>474633</v>
      </c>
      <c r="G420" s="86">
        <f t="shared" si="7"/>
        <v>0</v>
      </c>
      <c r="H420" s="86">
        <v>474633</v>
      </c>
      <c r="I420" s="86">
        <v>474633</v>
      </c>
      <c r="J420" s="78"/>
      <c r="L420" s="78"/>
    </row>
    <row r="421" spans="1:12" s="20" customFormat="1" ht="36.75" customHeight="1">
      <c r="A421" s="14"/>
      <c r="B421" s="14">
        <v>171000</v>
      </c>
      <c r="C421" s="166" t="s">
        <v>138</v>
      </c>
      <c r="D421" s="15" t="s">
        <v>267</v>
      </c>
      <c r="E421" s="52" t="s">
        <v>510</v>
      </c>
      <c r="F421" s="17"/>
      <c r="G421" s="18"/>
      <c r="H421" s="17"/>
      <c r="I421" s="19">
        <f>'[1]Місто'!$O$355</f>
        <v>11661651</v>
      </c>
      <c r="J421" s="78"/>
      <c r="L421" s="78"/>
    </row>
    <row r="422" spans="1:12" s="20" customFormat="1" ht="15.75" hidden="1">
      <c r="A422" s="14"/>
      <c r="B422" s="14"/>
      <c r="C422" s="58"/>
      <c r="D422" s="15"/>
      <c r="E422" s="15" t="s">
        <v>513</v>
      </c>
      <c r="F422" s="17"/>
      <c r="G422" s="18"/>
      <c r="H422" s="17"/>
      <c r="I422" s="19"/>
      <c r="J422" s="78"/>
      <c r="L422" s="78"/>
    </row>
    <row r="423" spans="1:12" s="20" customFormat="1" ht="15.75">
      <c r="A423" s="14"/>
      <c r="B423" s="14">
        <v>170603</v>
      </c>
      <c r="C423" s="166" t="s">
        <v>203</v>
      </c>
      <c r="D423" s="15" t="s">
        <v>204</v>
      </c>
      <c r="E423" s="52" t="s">
        <v>510</v>
      </c>
      <c r="F423" s="17"/>
      <c r="G423" s="18"/>
      <c r="H423" s="17"/>
      <c r="I423" s="19">
        <f>'[1]Місто'!$O$356</f>
        <v>0</v>
      </c>
      <c r="J423" s="78"/>
      <c r="L423" s="78"/>
    </row>
    <row r="424" spans="1:12" s="20" customFormat="1" ht="45.75">
      <c r="A424" s="14"/>
      <c r="B424" s="14">
        <v>180409</v>
      </c>
      <c r="C424" s="166" t="s">
        <v>114</v>
      </c>
      <c r="D424" s="15" t="s">
        <v>253</v>
      </c>
      <c r="E424" s="15" t="s">
        <v>268</v>
      </c>
      <c r="F424" s="17"/>
      <c r="G424" s="17"/>
      <c r="H424" s="17"/>
      <c r="I424" s="19">
        <f>I427+I428+I429</f>
        <v>37542480</v>
      </c>
      <c r="J424" s="78"/>
      <c r="L424" s="78"/>
    </row>
    <row r="425" spans="1:12" s="20" customFormat="1" ht="15.75" hidden="1">
      <c r="A425" s="14"/>
      <c r="B425" s="14"/>
      <c r="C425" s="58"/>
      <c r="D425" s="15"/>
      <c r="E425" s="15"/>
      <c r="F425" s="17"/>
      <c r="G425" s="18"/>
      <c r="H425" s="17"/>
      <c r="I425" s="19"/>
      <c r="J425" s="78"/>
      <c r="L425" s="78"/>
    </row>
    <row r="426" spans="1:12" s="20" customFormat="1" ht="15.75">
      <c r="A426" s="14"/>
      <c r="B426" s="14"/>
      <c r="C426" s="58"/>
      <c r="D426" s="15"/>
      <c r="E426" s="15" t="s">
        <v>309</v>
      </c>
      <c r="F426" s="17"/>
      <c r="G426" s="17"/>
      <c r="H426" s="17"/>
      <c r="I426" s="19"/>
      <c r="J426" s="78"/>
      <c r="L426" s="78"/>
    </row>
    <row r="427" spans="1:12" s="20" customFormat="1" ht="112.5">
      <c r="A427" s="14"/>
      <c r="B427" s="14"/>
      <c r="C427" s="58"/>
      <c r="D427" s="15"/>
      <c r="E427" s="142" t="s">
        <v>52</v>
      </c>
      <c r="F427" s="85"/>
      <c r="G427" s="85"/>
      <c r="H427" s="85"/>
      <c r="I427" s="86">
        <f>1474480+23700000</f>
        <v>25174480</v>
      </c>
      <c r="J427" s="78"/>
      <c r="L427" s="78"/>
    </row>
    <row r="428" spans="1:9" s="105" customFormat="1" ht="18.75" hidden="1">
      <c r="A428" s="104"/>
      <c r="B428" s="104"/>
      <c r="C428" s="174"/>
      <c r="D428" s="89"/>
      <c r="E428" s="142"/>
      <c r="F428" s="85"/>
      <c r="G428" s="85"/>
      <c r="H428" s="85"/>
      <c r="I428" s="86"/>
    </row>
    <row r="429" spans="1:12" s="20" customFormat="1" ht="131.25">
      <c r="A429" s="14"/>
      <c r="B429" s="14"/>
      <c r="C429" s="58"/>
      <c r="D429" s="15"/>
      <c r="E429" s="142" t="s">
        <v>206</v>
      </c>
      <c r="F429" s="85"/>
      <c r="G429" s="85"/>
      <c r="H429" s="85"/>
      <c r="I429" s="86">
        <f>650000+5218000+6500000</f>
        <v>12368000</v>
      </c>
      <c r="J429" s="78"/>
      <c r="L429" s="78"/>
    </row>
    <row r="430" spans="1:12" s="20" customFormat="1" ht="45.75" hidden="1">
      <c r="A430" s="14"/>
      <c r="B430" s="14">
        <v>180409</v>
      </c>
      <c r="C430" s="58"/>
      <c r="D430" s="15" t="s">
        <v>253</v>
      </c>
      <c r="E430" s="89" t="s">
        <v>342</v>
      </c>
      <c r="F430" s="85"/>
      <c r="G430" s="85"/>
      <c r="H430" s="85"/>
      <c r="I430" s="86"/>
      <c r="J430" s="78"/>
      <c r="L430" s="78"/>
    </row>
    <row r="431" spans="1:12" s="20" customFormat="1" ht="15.75" hidden="1">
      <c r="A431" s="14"/>
      <c r="B431" s="14"/>
      <c r="C431" s="58"/>
      <c r="D431" s="15"/>
      <c r="E431" s="89"/>
      <c r="F431" s="85"/>
      <c r="G431" s="87"/>
      <c r="H431" s="85"/>
      <c r="I431" s="86"/>
      <c r="J431" s="78"/>
      <c r="L431" s="78"/>
    </row>
    <row r="432" spans="1:12" s="20" customFormat="1" ht="15.75" hidden="1">
      <c r="A432" s="14"/>
      <c r="B432" s="14"/>
      <c r="C432" s="58"/>
      <c r="D432" s="15"/>
      <c r="E432" s="89" t="s">
        <v>309</v>
      </c>
      <c r="F432" s="85"/>
      <c r="G432" s="85"/>
      <c r="H432" s="85"/>
      <c r="I432" s="86"/>
      <c r="J432" s="78"/>
      <c r="L432" s="78"/>
    </row>
    <row r="433" spans="1:12" s="20" customFormat="1" ht="60" hidden="1">
      <c r="A433" s="14"/>
      <c r="B433" s="14"/>
      <c r="C433" s="58"/>
      <c r="D433" s="15"/>
      <c r="E433" s="95" t="s">
        <v>12</v>
      </c>
      <c r="F433" s="85"/>
      <c r="G433" s="85"/>
      <c r="H433" s="85"/>
      <c r="I433" s="86"/>
      <c r="J433" s="78"/>
      <c r="L433" s="78"/>
    </row>
    <row r="434" spans="1:12" s="20" customFormat="1" ht="47.25" customHeight="1" hidden="1">
      <c r="A434" s="14"/>
      <c r="B434" s="14"/>
      <c r="C434" s="58"/>
      <c r="D434" s="15"/>
      <c r="E434" s="95" t="s">
        <v>343</v>
      </c>
      <c r="F434" s="85"/>
      <c r="G434" s="85"/>
      <c r="H434" s="85"/>
      <c r="I434" s="86"/>
      <c r="J434" s="78"/>
      <c r="L434" s="78"/>
    </row>
    <row r="435" spans="1:12" s="20" customFormat="1" ht="15.75">
      <c r="A435" s="14"/>
      <c r="B435" s="14">
        <v>120100</v>
      </c>
      <c r="C435" s="166" t="s">
        <v>139</v>
      </c>
      <c r="D435" s="15" t="s">
        <v>17</v>
      </c>
      <c r="E435" s="15" t="s">
        <v>510</v>
      </c>
      <c r="F435" s="17"/>
      <c r="G435" s="17"/>
      <c r="H435" s="17"/>
      <c r="I435" s="19">
        <f>'[1]Місто'!$O$350</f>
        <v>143525</v>
      </c>
      <c r="J435" s="78"/>
      <c r="L435" s="78"/>
    </row>
    <row r="436" spans="1:12" s="26" customFormat="1" ht="47.25">
      <c r="A436" s="23"/>
      <c r="B436" s="23">
        <v>67</v>
      </c>
      <c r="C436" s="172"/>
      <c r="D436" s="24" t="s">
        <v>269</v>
      </c>
      <c r="E436" s="24"/>
      <c r="F436" s="25"/>
      <c r="G436" s="25"/>
      <c r="H436" s="25"/>
      <c r="I436" s="25">
        <f>SUM(I437:I439)</f>
        <v>1531097</v>
      </c>
      <c r="J436" s="75">
        <f>'[1]Місто'!$O$366-I436</f>
        <v>0</v>
      </c>
      <c r="L436" s="77"/>
    </row>
    <row r="437" spans="1:12" s="20" customFormat="1" ht="15.75" hidden="1">
      <c r="A437" s="14"/>
      <c r="B437" s="14" t="s">
        <v>508</v>
      </c>
      <c r="C437" s="58"/>
      <c r="D437" s="15" t="s">
        <v>509</v>
      </c>
      <c r="E437" s="15" t="s">
        <v>510</v>
      </c>
      <c r="F437" s="17"/>
      <c r="G437" s="18"/>
      <c r="H437" s="17"/>
      <c r="I437" s="19"/>
      <c r="J437" s="78"/>
      <c r="L437" s="78"/>
    </row>
    <row r="438" spans="1:12" s="20" customFormat="1" ht="45.75">
      <c r="A438" s="14"/>
      <c r="B438" s="14">
        <v>210105</v>
      </c>
      <c r="C438" s="166" t="s">
        <v>140</v>
      </c>
      <c r="D438" s="15" t="s">
        <v>270</v>
      </c>
      <c r="E438" s="15" t="s">
        <v>510</v>
      </c>
      <c r="F438" s="17"/>
      <c r="G438" s="18"/>
      <c r="H438" s="17"/>
      <c r="I438" s="19">
        <f>'[1]Місто'!$O$370</f>
        <v>1256377</v>
      </c>
      <c r="J438" s="78"/>
      <c r="L438" s="78"/>
    </row>
    <row r="439" spans="1:12" s="20" customFormat="1" ht="15.75">
      <c r="A439" s="14"/>
      <c r="B439" s="14">
        <v>210110</v>
      </c>
      <c r="C439" s="166" t="s">
        <v>140</v>
      </c>
      <c r="D439" s="15" t="s">
        <v>271</v>
      </c>
      <c r="E439" s="15" t="s">
        <v>510</v>
      </c>
      <c r="F439" s="17"/>
      <c r="G439" s="18"/>
      <c r="H439" s="17"/>
      <c r="I439" s="19">
        <f>'[1]Місто'!$O$373</f>
        <v>274720</v>
      </c>
      <c r="J439" s="78"/>
      <c r="L439" s="78"/>
    </row>
    <row r="440" spans="1:12" s="26" customFormat="1" ht="31.5">
      <c r="A440" s="23"/>
      <c r="B440" s="23">
        <v>73</v>
      </c>
      <c r="C440" s="172"/>
      <c r="D440" s="24" t="s">
        <v>272</v>
      </c>
      <c r="E440" s="24"/>
      <c r="F440" s="25">
        <f>F441+F442+F443+F444+F445+F446</f>
        <v>28067545</v>
      </c>
      <c r="G440" s="25"/>
      <c r="H440" s="25">
        <f>H441+H442+H443+H444+H445+H446</f>
        <v>16316281</v>
      </c>
      <c r="I440" s="25">
        <f>I441+I442+I443+I444+I445+I446</f>
        <v>16474982</v>
      </c>
      <c r="J440" s="75">
        <f>'[1]Місто'!$O$374-I440</f>
        <v>0</v>
      </c>
      <c r="K440" s="34">
        <f>I442+I443+I444+I445</f>
        <v>7178541</v>
      </c>
      <c r="L440" s="75">
        <f>'[1]Місто'!$O$381-K440</f>
        <v>0</v>
      </c>
    </row>
    <row r="441" spans="1:12" s="20" customFormat="1" ht="15.75">
      <c r="A441" s="14"/>
      <c r="B441" s="14" t="s">
        <v>508</v>
      </c>
      <c r="C441" s="166" t="s">
        <v>113</v>
      </c>
      <c r="D441" s="42" t="s">
        <v>509</v>
      </c>
      <c r="E441" s="42" t="s">
        <v>510</v>
      </c>
      <c r="F441" s="17"/>
      <c r="G441" s="18"/>
      <c r="H441" s="17"/>
      <c r="I441" s="19">
        <f>'[1]Місто'!$O$376</f>
        <v>158701</v>
      </c>
      <c r="J441" s="78"/>
      <c r="L441" s="78"/>
    </row>
    <row r="442" spans="1:12" s="20" customFormat="1" ht="37.5">
      <c r="A442" s="14"/>
      <c r="B442" s="14">
        <v>150101</v>
      </c>
      <c r="C442" s="186" t="s">
        <v>114</v>
      </c>
      <c r="D442" s="47" t="s">
        <v>511</v>
      </c>
      <c r="E442" s="118" t="s">
        <v>273</v>
      </c>
      <c r="F442" s="50">
        <v>13415939</v>
      </c>
      <c r="G442" s="18">
        <f>100-(H442/F442)*100</f>
        <v>49.65613662972081</v>
      </c>
      <c r="H442" s="19">
        <v>6754102</v>
      </c>
      <c r="I442" s="19">
        <v>6754102</v>
      </c>
      <c r="J442" s="78"/>
      <c r="L442" s="78"/>
    </row>
    <row r="443" spans="1:12" s="20" customFormat="1" ht="37.5">
      <c r="A443" s="14"/>
      <c r="B443" s="14">
        <v>150101</v>
      </c>
      <c r="C443" s="186" t="s">
        <v>114</v>
      </c>
      <c r="D443" s="47" t="s">
        <v>511</v>
      </c>
      <c r="E443" s="118" t="s">
        <v>53</v>
      </c>
      <c r="F443" s="50">
        <v>200000</v>
      </c>
      <c r="G443" s="18">
        <f>100-(H443/F443)*100</f>
        <v>24.45349999999999</v>
      </c>
      <c r="H443" s="19">
        <v>151093</v>
      </c>
      <c r="I443" s="19">
        <v>151093</v>
      </c>
      <c r="J443" s="78"/>
      <c r="L443" s="78"/>
    </row>
    <row r="444" spans="1:12" s="20" customFormat="1" ht="56.25">
      <c r="A444" s="14"/>
      <c r="B444" s="14">
        <v>150101</v>
      </c>
      <c r="C444" s="186" t="s">
        <v>114</v>
      </c>
      <c r="D444" s="47" t="s">
        <v>511</v>
      </c>
      <c r="E444" s="118" t="s">
        <v>277</v>
      </c>
      <c r="F444" s="50">
        <v>172787</v>
      </c>
      <c r="G444" s="18">
        <f>100-(H444/F444)*100</f>
        <v>14.571119355044075</v>
      </c>
      <c r="H444" s="19">
        <v>147610</v>
      </c>
      <c r="I444" s="19">
        <v>147610</v>
      </c>
      <c r="J444" s="78"/>
      <c r="L444" s="78"/>
    </row>
    <row r="445" spans="1:12" s="20" customFormat="1" ht="37.5">
      <c r="A445" s="14"/>
      <c r="B445" s="14">
        <v>150101</v>
      </c>
      <c r="C445" s="186" t="s">
        <v>114</v>
      </c>
      <c r="D445" s="47" t="s">
        <v>511</v>
      </c>
      <c r="E445" s="118" t="s">
        <v>477</v>
      </c>
      <c r="F445" s="50">
        <v>168762</v>
      </c>
      <c r="G445" s="18">
        <f>100-(H445/F445)*100</f>
        <v>25.495075905713378</v>
      </c>
      <c r="H445" s="19">
        <v>125736</v>
      </c>
      <c r="I445" s="19">
        <v>125736</v>
      </c>
      <c r="J445" s="78"/>
      <c r="L445" s="78"/>
    </row>
    <row r="446" spans="1:12" s="20" customFormat="1" ht="60.75">
      <c r="A446" s="14"/>
      <c r="B446" s="14">
        <v>150121</v>
      </c>
      <c r="C446" s="186" t="s">
        <v>133</v>
      </c>
      <c r="D446" s="47" t="s">
        <v>278</v>
      </c>
      <c r="E446" s="118" t="s">
        <v>279</v>
      </c>
      <c r="F446" s="50">
        <v>14110057</v>
      </c>
      <c r="G446" s="18">
        <f>100-(H446/F446)*100</f>
        <v>35.239524546215506</v>
      </c>
      <c r="H446" s="19">
        <v>9137740</v>
      </c>
      <c r="I446" s="19">
        <v>9137740</v>
      </c>
      <c r="J446" s="78"/>
      <c r="L446" s="78"/>
    </row>
    <row r="447" spans="1:12" s="20" customFormat="1" ht="15.75" hidden="1">
      <c r="A447" s="14"/>
      <c r="B447" s="14"/>
      <c r="C447" s="58"/>
      <c r="D447" s="52"/>
      <c r="E447" s="52"/>
      <c r="F447" s="17"/>
      <c r="G447" s="18"/>
      <c r="H447" s="17"/>
      <c r="I447" s="19"/>
      <c r="J447" s="78"/>
      <c r="L447" s="78"/>
    </row>
    <row r="448" spans="1:12" s="20" customFormat="1" ht="15.75" hidden="1">
      <c r="A448" s="14"/>
      <c r="B448" s="14">
        <v>150101</v>
      </c>
      <c r="C448" s="58"/>
      <c r="D448" s="15" t="s">
        <v>511</v>
      </c>
      <c r="E448" s="15"/>
      <c r="F448" s="17"/>
      <c r="G448" s="18"/>
      <c r="H448" s="17"/>
      <c r="I448" s="19"/>
      <c r="J448" s="78"/>
      <c r="L448" s="78"/>
    </row>
    <row r="449" spans="1:12" s="20" customFormat="1" ht="15.75" hidden="1">
      <c r="A449" s="14"/>
      <c r="B449" s="14">
        <v>150101</v>
      </c>
      <c r="C449" s="58"/>
      <c r="D449" s="15" t="s">
        <v>511</v>
      </c>
      <c r="E449" s="15"/>
      <c r="F449" s="17"/>
      <c r="G449" s="18"/>
      <c r="H449" s="17"/>
      <c r="I449" s="19"/>
      <c r="J449" s="78"/>
      <c r="L449" s="78"/>
    </row>
    <row r="450" spans="1:12" s="20" customFormat="1" ht="15.75" hidden="1">
      <c r="A450" s="14"/>
      <c r="B450" s="14"/>
      <c r="C450" s="58"/>
      <c r="D450" s="15"/>
      <c r="E450" s="15"/>
      <c r="F450" s="17"/>
      <c r="G450" s="18"/>
      <c r="H450" s="17"/>
      <c r="I450" s="19"/>
      <c r="J450" s="78"/>
      <c r="L450" s="78"/>
    </row>
    <row r="451" spans="1:12" s="20" customFormat="1" ht="15.75" hidden="1">
      <c r="A451" s="14"/>
      <c r="B451" s="14">
        <v>150101</v>
      </c>
      <c r="C451" s="58"/>
      <c r="D451" s="15" t="s">
        <v>511</v>
      </c>
      <c r="E451" s="15"/>
      <c r="F451" s="17"/>
      <c r="G451" s="18"/>
      <c r="H451" s="17"/>
      <c r="I451" s="19"/>
      <c r="J451" s="78"/>
      <c r="L451" s="78"/>
    </row>
    <row r="452" spans="1:12" s="20" customFormat="1" ht="15.75" hidden="1">
      <c r="A452" s="14"/>
      <c r="B452" s="14"/>
      <c r="C452" s="58"/>
      <c r="D452" s="15"/>
      <c r="E452" s="15"/>
      <c r="F452" s="17"/>
      <c r="G452" s="18"/>
      <c r="H452" s="17"/>
      <c r="I452" s="19"/>
      <c r="J452" s="78"/>
      <c r="L452" s="78"/>
    </row>
    <row r="453" spans="1:12" s="20" customFormat="1" ht="15.75" hidden="1">
      <c r="A453" s="14"/>
      <c r="B453" s="14">
        <v>150101</v>
      </c>
      <c r="C453" s="58"/>
      <c r="D453" s="15" t="s">
        <v>511</v>
      </c>
      <c r="E453" s="15"/>
      <c r="F453" s="17"/>
      <c r="G453" s="18"/>
      <c r="H453" s="17"/>
      <c r="I453" s="19"/>
      <c r="J453" s="78"/>
      <c r="L453" s="78"/>
    </row>
    <row r="454" spans="1:12" s="20" customFormat="1" ht="15.75" hidden="1">
      <c r="A454" s="14"/>
      <c r="B454" s="14"/>
      <c r="C454" s="58"/>
      <c r="D454" s="15"/>
      <c r="E454" s="15"/>
      <c r="F454" s="17"/>
      <c r="G454" s="18"/>
      <c r="H454" s="17"/>
      <c r="I454" s="19"/>
      <c r="J454" s="78"/>
      <c r="L454" s="78"/>
    </row>
    <row r="455" spans="1:12" s="20" customFormat="1" ht="26.25" customHeight="1" hidden="1">
      <c r="A455" s="14"/>
      <c r="B455" s="14">
        <v>150101</v>
      </c>
      <c r="C455" s="58"/>
      <c r="D455" s="15" t="s">
        <v>511</v>
      </c>
      <c r="E455" s="15"/>
      <c r="F455" s="17"/>
      <c r="G455" s="18"/>
      <c r="H455" s="17"/>
      <c r="I455" s="19"/>
      <c r="J455" s="78"/>
      <c r="L455" s="78"/>
    </row>
    <row r="456" spans="1:12" s="20" customFormat="1" ht="15.75" hidden="1">
      <c r="A456" s="14"/>
      <c r="B456" s="14"/>
      <c r="C456" s="58"/>
      <c r="D456" s="15"/>
      <c r="E456" s="15"/>
      <c r="F456" s="17"/>
      <c r="G456" s="18"/>
      <c r="H456" s="17"/>
      <c r="I456" s="19"/>
      <c r="J456" s="78"/>
      <c r="L456" s="78"/>
    </row>
    <row r="457" spans="1:12" s="26" customFormat="1" ht="31.5" hidden="1">
      <c r="A457" s="23"/>
      <c r="B457" s="23" t="s">
        <v>280</v>
      </c>
      <c r="C457" s="172"/>
      <c r="D457" s="24" t="s">
        <v>281</v>
      </c>
      <c r="E457" s="24"/>
      <c r="F457" s="25"/>
      <c r="G457" s="27"/>
      <c r="H457" s="25"/>
      <c r="I457" s="25">
        <f>I458</f>
        <v>0</v>
      </c>
      <c r="J457" s="75"/>
      <c r="L457" s="77"/>
    </row>
    <row r="458" spans="1:12" s="20" customFormat="1" ht="15.75" hidden="1">
      <c r="A458" s="14"/>
      <c r="B458" s="14" t="s">
        <v>508</v>
      </c>
      <c r="C458" s="58"/>
      <c r="D458" s="15" t="s">
        <v>509</v>
      </c>
      <c r="E458" s="15" t="s">
        <v>510</v>
      </c>
      <c r="F458" s="17"/>
      <c r="G458" s="18"/>
      <c r="H458" s="17"/>
      <c r="I458" s="19"/>
      <c r="J458" s="78"/>
      <c r="L458" s="78"/>
    </row>
    <row r="459" spans="1:12" s="26" customFormat="1" ht="31.5">
      <c r="A459" s="23"/>
      <c r="B459" s="23" t="s">
        <v>282</v>
      </c>
      <c r="C459" s="172"/>
      <c r="D459" s="24" t="s">
        <v>281</v>
      </c>
      <c r="E459" s="24"/>
      <c r="F459" s="25"/>
      <c r="G459" s="27"/>
      <c r="H459" s="25"/>
      <c r="I459" s="25">
        <f>I460+I461</f>
        <v>11886944</v>
      </c>
      <c r="J459" s="75">
        <f>'[1]Місто'!$O$405-I459</f>
        <v>0</v>
      </c>
      <c r="L459" s="77"/>
    </row>
    <row r="460" spans="1:12" s="20" customFormat="1" ht="15.75">
      <c r="A460" s="14"/>
      <c r="B460" s="14">
        <v>250380</v>
      </c>
      <c r="C460" s="166" t="s">
        <v>141</v>
      </c>
      <c r="D460" s="15" t="s">
        <v>252</v>
      </c>
      <c r="E460" s="15" t="s">
        <v>510</v>
      </c>
      <c r="F460" s="17"/>
      <c r="G460" s="18"/>
      <c r="H460" s="17"/>
      <c r="I460" s="19">
        <f>'[1]Місто'!$O$410</f>
        <v>7101544</v>
      </c>
      <c r="J460" s="78"/>
      <c r="L460" s="78"/>
    </row>
    <row r="461" spans="1:12" s="20" customFormat="1" ht="45.75">
      <c r="A461" s="14"/>
      <c r="B461" s="14">
        <v>250344</v>
      </c>
      <c r="C461" s="166" t="s">
        <v>141</v>
      </c>
      <c r="D461" s="15" t="s">
        <v>109</v>
      </c>
      <c r="E461" s="92" t="s">
        <v>510</v>
      </c>
      <c r="F461" s="17"/>
      <c r="G461" s="18"/>
      <c r="H461" s="17"/>
      <c r="I461" s="19">
        <f>'[1]Місто'!$O$411</f>
        <v>4785400</v>
      </c>
      <c r="J461" s="78"/>
      <c r="L461" s="78"/>
    </row>
    <row r="462" spans="1:12" s="26" customFormat="1" ht="31.5">
      <c r="A462" s="23"/>
      <c r="B462" s="23">
        <v>90</v>
      </c>
      <c r="C462" s="172"/>
      <c r="D462" s="24" t="s">
        <v>283</v>
      </c>
      <c r="E462" s="24"/>
      <c r="F462" s="25"/>
      <c r="G462" s="27"/>
      <c r="H462" s="25"/>
      <c r="I462" s="25">
        <f>I463</f>
        <v>50756</v>
      </c>
      <c r="J462" s="75">
        <f>'[1]Місто'!$O$412-I462</f>
        <v>0</v>
      </c>
      <c r="L462" s="77"/>
    </row>
    <row r="463" spans="1:12" s="20" customFormat="1" ht="15.75">
      <c r="A463" s="14"/>
      <c r="B463" s="14" t="s">
        <v>508</v>
      </c>
      <c r="C463" s="166" t="s">
        <v>113</v>
      </c>
      <c r="D463" s="15" t="s">
        <v>509</v>
      </c>
      <c r="E463" s="15" t="s">
        <v>510</v>
      </c>
      <c r="F463" s="17"/>
      <c r="G463" s="18"/>
      <c r="H463" s="17"/>
      <c r="I463" s="19">
        <f>'[1]Місто'!$O$414</f>
        <v>50756</v>
      </c>
      <c r="J463" s="78"/>
      <c r="L463" s="78"/>
    </row>
    <row r="464" spans="1:12" s="20" customFormat="1" ht="15.75" hidden="1">
      <c r="A464" s="14"/>
      <c r="B464" s="14" t="s">
        <v>261</v>
      </c>
      <c r="C464" s="58"/>
      <c r="D464" s="15" t="s">
        <v>284</v>
      </c>
      <c r="E464" s="15" t="s">
        <v>510</v>
      </c>
      <c r="F464" s="17"/>
      <c r="G464" s="18"/>
      <c r="H464" s="17"/>
      <c r="I464" s="19"/>
      <c r="J464" s="78"/>
      <c r="L464" s="78"/>
    </row>
    <row r="465" spans="1:12" s="20" customFormat="1" ht="15.75" hidden="1">
      <c r="A465" s="14"/>
      <c r="B465" s="14" t="s">
        <v>285</v>
      </c>
      <c r="C465" s="58"/>
      <c r="D465" s="15" t="s">
        <v>511</v>
      </c>
      <c r="E465" s="15"/>
      <c r="F465" s="17"/>
      <c r="G465" s="18"/>
      <c r="H465" s="17"/>
      <c r="I465" s="19"/>
      <c r="J465" s="78"/>
      <c r="L465" s="78"/>
    </row>
    <row r="466" spans="1:12" s="20" customFormat="1" ht="15.75" hidden="1">
      <c r="A466" s="14"/>
      <c r="B466" s="14"/>
      <c r="C466" s="58"/>
      <c r="D466" s="15"/>
      <c r="E466" s="15" t="s">
        <v>513</v>
      </c>
      <c r="F466" s="17"/>
      <c r="G466" s="18"/>
      <c r="H466" s="17"/>
      <c r="I466" s="19"/>
      <c r="J466" s="78"/>
      <c r="L466" s="78"/>
    </row>
    <row r="467" spans="1:12" s="26" customFormat="1" ht="31.5">
      <c r="A467" s="23"/>
      <c r="B467" s="23">
        <v>91</v>
      </c>
      <c r="C467" s="172"/>
      <c r="D467" s="24" t="s">
        <v>286</v>
      </c>
      <c r="E467" s="24"/>
      <c r="F467" s="25">
        <f>SUM(F468:F470)-F469+F472</f>
        <v>8712650</v>
      </c>
      <c r="G467" s="25"/>
      <c r="H467" s="25">
        <f>SUM(H468:H470)-H469+H472</f>
        <v>8712650</v>
      </c>
      <c r="I467" s="25">
        <f>SUM(I468:I470)-I469+I472</f>
        <v>438266</v>
      </c>
      <c r="J467" s="75">
        <f>'[1]Місто'!$O$434-I467</f>
        <v>0</v>
      </c>
      <c r="L467" s="77"/>
    </row>
    <row r="468" spans="1:12" s="20" customFormat="1" ht="15.75" hidden="1">
      <c r="A468" s="14"/>
      <c r="B468" s="14">
        <v>10116</v>
      </c>
      <c r="C468" s="58"/>
      <c r="D468" s="15" t="s">
        <v>509</v>
      </c>
      <c r="E468" s="15" t="s">
        <v>510</v>
      </c>
      <c r="F468" s="17"/>
      <c r="G468" s="18"/>
      <c r="H468" s="17"/>
      <c r="I468" s="19"/>
      <c r="J468" s="78"/>
      <c r="L468" s="78"/>
    </row>
    <row r="469" spans="1:12" s="20" customFormat="1" ht="15.75" hidden="1">
      <c r="A469" s="14"/>
      <c r="B469" s="14"/>
      <c r="C469" s="58"/>
      <c r="D469" s="15"/>
      <c r="E469" s="15" t="s">
        <v>513</v>
      </c>
      <c r="F469" s="17"/>
      <c r="G469" s="18"/>
      <c r="H469" s="17"/>
      <c r="I469" s="19"/>
      <c r="J469" s="78"/>
      <c r="L469" s="78"/>
    </row>
    <row r="470" spans="1:12" s="20" customFormat="1" ht="19.5" customHeight="1" hidden="1">
      <c r="A470" s="14"/>
      <c r="B470" s="14" t="s">
        <v>261</v>
      </c>
      <c r="C470" s="58"/>
      <c r="D470" s="15" t="s">
        <v>284</v>
      </c>
      <c r="E470" s="15" t="s">
        <v>510</v>
      </c>
      <c r="F470" s="17"/>
      <c r="G470" s="18"/>
      <c r="H470" s="17"/>
      <c r="I470" s="19"/>
      <c r="J470" s="78"/>
      <c r="L470" s="78"/>
    </row>
    <row r="471" spans="1:12" s="20" customFormat="1" ht="15.75" hidden="1">
      <c r="A471" s="14"/>
      <c r="B471" s="14"/>
      <c r="C471" s="58"/>
      <c r="D471" s="15"/>
      <c r="E471" s="15" t="s">
        <v>513</v>
      </c>
      <c r="F471" s="17"/>
      <c r="G471" s="18"/>
      <c r="H471" s="17"/>
      <c r="I471" s="19"/>
      <c r="J471" s="78"/>
      <c r="L471" s="78"/>
    </row>
    <row r="472" spans="1:12" s="20" customFormat="1" ht="30.75">
      <c r="A472" s="14"/>
      <c r="B472" s="14">
        <v>150101</v>
      </c>
      <c r="C472" s="166" t="s">
        <v>114</v>
      </c>
      <c r="D472" s="15" t="s">
        <v>511</v>
      </c>
      <c r="E472" s="92" t="s">
        <v>104</v>
      </c>
      <c r="F472" s="17">
        <v>8712650</v>
      </c>
      <c r="G472" s="18"/>
      <c r="H472" s="17">
        <v>8712650</v>
      </c>
      <c r="I472" s="19">
        <v>438266</v>
      </c>
      <c r="J472" s="78"/>
      <c r="L472" s="78"/>
    </row>
    <row r="473" spans="1:12" s="26" customFormat="1" ht="31.5">
      <c r="A473" s="23"/>
      <c r="B473" s="23">
        <v>92</v>
      </c>
      <c r="C473" s="172"/>
      <c r="D473" s="24" t="s">
        <v>287</v>
      </c>
      <c r="E473" s="24"/>
      <c r="F473" s="25">
        <f>SUM(F474:F485)</f>
        <v>18009954</v>
      </c>
      <c r="G473" s="25"/>
      <c r="H473" s="25">
        <f>SUM(H474:H485)</f>
        <v>17401621</v>
      </c>
      <c r="I473" s="25">
        <f>SUM(I474:I485)</f>
        <v>5669073</v>
      </c>
      <c r="J473" s="75">
        <f>'[1]Місто'!$O$455-I473</f>
        <v>0</v>
      </c>
      <c r="K473" s="34">
        <f>I477+I478+I479+I480+I481+I482+I483+I484</f>
        <v>5524226</v>
      </c>
      <c r="L473" s="75"/>
    </row>
    <row r="474" spans="1:12" s="20" customFormat="1" ht="15.75">
      <c r="A474" s="14"/>
      <c r="B474" s="14" t="s">
        <v>508</v>
      </c>
      <c r="C474" s="166" t="s">
        <v>113</v>
      </c>
      <c r="D474" s="15" t="s">
        <v>509</v>
      </c>
      <c r="E474" s="15" t="s">
        <v>510</v>
      </c>
      <c r="F474" s="17"/>
      <c r="G474" s="18"/>
      <c r="H474" s="17"/>
      <c r="I474" s="19">
        <f>'[1]Місто'!$O$457</f>
        <v>106297</v>
      </c>
      <c r="J474" s="78"/>
      <c r="L474" s="78"/>
    </row>
    <row r="475" spans="1:12" s="20" customFormat="1" ht="15.75" hidden="1">
      <c r="A475" s="14"/>
      <c r="B475" s="14"/>
      <c r="C475" s="58"/>
      <c r="D475" s="15"/>
      <c r="E475" s="15" t="s">
        <v>513</v>
      </c>
      <c r="F475" s="17"/>
      <c r="G475" s="18"/>
      <c r="H475" s="17"/>
      <c r="I475" s="19"/>
      <c r="J475" s="78"/>
      <c r="L475" s="78"/>
    </row>
    <row r="476" spans="1:12" s="20" customFormat="1" ht="42.75" customHeight="1" hidden="1">
      <c r="A476" s="14"/>
      <c r="B476" s="14" t="s">
        <v>261</v>
      </c>
      <c r="C476" s="58"/>
      <c r="D476" s="42" t="s">
        <v>284</v>
      </c>
      <c r="E476" s="42" t="s">
        <v>297</v>
      </c>
      <c r="F476" s="17"/>
      <c r="G476" s="18"/>
      <c r="H476" s="17"/>
      <c r="I476" s="19"/>
      <c r="J476" s="78"/>
      <c r="L476" s="78"/>
    </row>
    <row r="477" spans="1:12" s="20" customFormat="1" ht="28.5" customHeight="1">
      <c r="A477" s="14"/>
      <c r="B477" s="14">
        <v>150101</v>
      </c>
      <c r="C477" s="186" t="s">
        <v>114</v>
      </c>
      <c r="D477" s="47" t="s">
        <v>511</v>
      </c>
      <c r="E477" s="118" t="s">
        <v>288</v>
      </c>
      <c r="F477" s="50">
        <v>10000000</v>
      </c>
      <c r="G477" s="18">
        <f aca="true" t="shared" si="8" ref="G477:G485">100-(H477/F477*100)</f>
        <v>1.1687399999999997</v>
      </c>
      <c r="H477" s="17">
        <v>9883126</v>
      </c>
      <c r="I477" s="19">
        <v>128400</v>
      </c>
      <c r="J477" s="78"/>
      <c r="L477" s="78"/>
    </row>
    <row r="478" spans="1:12" s="20" customFormat="1" ht="60" customHeight="1">
      <c r="A478" s="14"/>
      <c r="B478" s="14">
        <v>150101</v>
      </c>
      <c r="C478" s="186" t="s">
        <v>114</v>
      </c>
      <c r="D478" s="47" t="s">
        <v>511</v>
      </c>
      <c r="E478" s="118" t="s">
        <v>499</v>
      </c>
      <c r="F478" s="50">
        <v>2129131</v>
      </c>
      <c r="G478" s="18">
        <f t="shared" si="8"/>
        <v>0</v>
      </c>
      <c r="H478" s="17">
        <v>2129131</v>
      </c>
      <c r="I478" s="17">
        <v>2129131</v>
      </c>
      <c r="J478" s="78"/>
      <c r="L478" s="78"/>
    </row>
    <row r="479" spans="1:12" s="20" customFormat="1" ht="75">
      <c r="A479" s="14"/>
      <c r="B479" s="14">
        <v>150101</v>
      </c>
      <c r="C479" s="186" t="s">
        <v>114</v>
      </c>
      <c r="D479" s="47" t="s">
        <v>511</v>
      </c>
      <c r="E479" s="118" t="s">
        <v>167</v>
      </c>
      <c r="F479" s="50">
        <v>300000</v>
      </c>
      <c r="G479" s="18">
        <f t="shared" si="8"/>
        <v>3.7296666666666596</v>
      </c>
      <c r="H479" s="19">
        <v>288811</v>
      </c>
      <c r="I479" s="19">
        <v>288811</v>
      </c>
      <c r="J479" s="78"/>
      <c r="L479" s="78"/>
    </row>
    <row r="480" spans="1:12" s="20" customFormat="1" ht="56.25">
      <c r="A480" s="14"/>
      <c r="B480" s="14">
        <v>150101</v>
      </c>
      <c r="C480" s="166" t="s">
        <v>114</v>
      </c>
      <c r="D480" s="52" t="s">
        <v>511</v>
      </c>
      <c r="E480" s="183" t="s">
        <v>444</v>
      </c>
      <c r="F480" s="17">
        <f>2000000</f>
        <v>2000000</v>
      </c>
      <c r="G480" s="18">
        <f t="shared" si="8"/>
        <v>4.43235</v>
      </c>
      <c r="H480" s="17">
        <f>1911353</f>
        <v>1911353</v>
      </c>
      <c r="I480" s="86">
        <f>6748+32460</f>
        <v>39208</v>
      </c>
      <c r="J480" s="78"/>
      <c r="L480" s="78"/>
    </row>
    <row r="481" spans="1:12" s="20" customFormat="1" ht="56.25">
      <c r="A481" s="14"/>
      <c r="B481" s="14">
        <v>150101</v>
      </c>
      <c r="C481" s="166" t="s">
        <v>114</v>
      </c>
      <c r="D481" s="15" t="s">
        <v>511</v>
      </c>
      <c r="E481" s="118" t="s">
        <v>445</v>
      </c>
      <c r="F481" s="17">
        <v>100169</v>
      </c>
      <c r="G481" s="18">
        <f t="shared" si="8"/>
        <v>11.511545488125066</v>
      </c>
      <c r="H481" s="85">
        <v>88638</v>
      </c>
      <c r="I481" s="86">
        <v>88638</v>
      </c>
      <c r="J481" s="78"/>
      <c r="L481" s="78"/>
    </row>
    <row r="482" spans="1:12" s="20" customFormat="1" ht="58.5" customHeight="1">
      <c r="A482" s="14"/>
      <c r="B482" s="14">
        <v>150101</v>
      </c>
      <c r="C482" s="166" t="s">
        <v>114</v>
      </c>
      <c r="D482" s="15" t="s">
        <v>511</v>
      </c>
      <c r="E482" s="118" t="s">
        <v>446</v>
      </c>
      <c r="F482" s="17">
        <v>609237</v>
      </c>
      <c r="G482" s="18">
        <f t="shared" si="8"/>
        <v>57.854168410651354</v>
      </c>
      <c r="H482" s="17">
        <v>256768</v>
      </c>
      <c r="I482" s="19">
        <f>2381+42413</f>
        <v>44794</v>
      </c>
      <c r="J482" s="78"/>
      <c r="L482" s="78"/>
    </row>
    <row r="483" spans="1:12" s="20" customFormat="1" ht="93.75">
      <c r="A483" s="14"/>
      <c r="B483" s="14">
        <v>150101</v>
      </c>
      <c r="C483" s="166" t="s">
        <v>114</v>
      </c>
      <c r="D483" s="15" t="s">
        <v>511</v>
      </c>
      <c r="E483" s="118" t="s">
        <v>154</v>
      </c>
      <c r="F483" s="85">
        <f>1725658</f>
        <v>1725658</v>
      </c>
      <c r="G483" s="87">
        <f t="shared" si="8"/>
        <v>0</v>
      </c>
      <c r="H483" s="85">
        <f>1725658</f>
        <v>1725658</v>
      </c>
      <c r="I483" s="85">
        <f>980000+745658</f>
        <v>1725658</v>
      </c>
      <c r="J483" s="78"/>
      <c r="L483" s="78"/>
    </row>
    <row r="484" spans="1:12" s="20" customFormat="1" ht="56.25">
      <c r="A484" s="14"/>
      <c r="B484" s="14">
        <v>150101</v>
      </c>
      <c r="C484" s="166" t="s">
        <v>114</v>
      </c>
      <c r="D484" s="15" t="s">
        <v>511</v>
      </c>
      <c r="E484" s="118" t="s">
        <v>153</v>
      </c>
      <c r="F484" s="85">
        <v>1107209</v>
      </c>
      <c r="G484" s="87">
        <f t="shared" si="8"/>
        <v>2.494831599092848</v>
      </c>
      <c r="H484" s="85">
        <v>1079586</v>
      </c>
      <c r="I484" s="85">
        <v>1079586</v>
      </c>
      <c r="J484" s="78"/>
      <c r="L484" s="78"/>
    </row>
    <row r="485" spans="1:12" s="20" customFormat="1" ht="56.25">
      <c r="A485" s="14"/>
      <c r="B485" s="14">
        <v>150101</v>
      </c>
      <c r="C485" s="166" t="s">
        <v>114</v>
      </c>
      <c r="D485" s="15" t="s">
        <v>511</v>
      </c>
      <c r="E485" s="140" t="s">
        <v>184</v>
      </c>
      <c r="F485" s="19">
        <v>38550</v>
      </c>
      <c r="G485" s="18">
        <f t="shared" si="8"/>
        <v>0</v>
      </c>
      <c r="H485" s="19">
        <v>38550</v>
      </c>
      <c r="I485" s="19">
        <v>38550</v>
      </c>
      <c r="J485" s="78"/>
      <c r="L485" s="78"/>
    </row>
    <row r="486" spans="1:12" s="26" customFormat="1" ht="36" customHeight="1">
      <c r="A486" s="23"/>
      <c r="B486" s="23">
        <v>93</v>
      </c>
      <c r="C486" s="172"/>
      <c r="D486" s="24" t="s">
        <v>289</v>
      </c>
      <c r="E486" s="24"/>
      <c r="F486" s="25">
        <f>F487+F492+F494+F491</f>
        <v>3463549</v>
      </c>
      <c r="G486" s="27"/>
      <c r="H486" s="25">
        <f>H487+H492+H494+H491</f>
        <v>3264198</v>
      </c>
      <c r="I486" s="25">
        <f>I487+I492+I494+I491</f>
        <v>3870376</v>
      </c>
      <c r="J486" s="75">
        <f>'[1]Місто'!$O$475-I486</f>
        <v>0</v>
      </c>
      <c r="K486" s="34">
        <f>I492+I494</f>
        <v>3264198</v>
      </c>
      <c r="L486" s="75">
        <f>'[1]Місто'!$O$481-K486</f>
        <v>0</v>
      </c>
    </row>
    <row r="487" spans="1:12" s="20" customFormat="1" ht="15.75">
      <c r="A487" s="14"/>
      <c r="B487" s="14" t="s">
        <v>508</v>
      </c>
      <c r="C487" s="166" t="s">
        <v>113</v>
      </c>
      <c r="D487" s="15" t="s">
        <v>509</v>
      </c>
      <c r="E487" s="15" t="s">
        <v>510</v>
      </c>
      <c r="F487" s="17"/>
      <c r="G487" s="18"/>
      <c r="H487" s="17"/>
      <c r="I487" s="19">
        <f>'[1]Місто'!$O$477</f>
        <v>56854</v>
      </c>
      <c r="J487" s="78"/>
      <c r="L487" s="78"/>
    </row>
    <row r="488" spans="1:12" s="20" customFormat="1" ht="48" customHeight="1" hidden="1">
      <c r="A488" s="14"/>
      <c r="B488" s="14"/>
      <c r="C488" s="58"/>
      <c r="D488" s="15"/>
      <c r="E488" s="15"/>
      <c r="F488" s="17"/>
      <c r="G488" s="17"/>
      <c r="H488" s="17"/>
      <c r="I488" s="19"/>
      <c r="J488" s="78"/>
      <c r="L488" s="78"/>
    </row>
    <row r="489" spans="1:12" s="20" customFormat="1" ht="36.75" customHeight="1" hidden="1">
      <c r="A489" s="14"/>
      <c r="B489" s="14"/>
      <c r="C489" s="58"/>
      <c r="D489" s="15"/>
      <c r="E489" s="15"/>
      <c r="F489" s="17"/>
      <c r="G489" s="17"/>
      <c r="H489" s="17"/>
      <c r="I489" s="19"/>
      <c r="J489" s="78"/>
      <c r="L489" s="78"/>
    </row>
    <row r="490" spans="1:12" s="20" customFormat="1" ht="15.75" hidden="1">
      <c r="A490" s="14"/>
      <c r="B490" s="14"/>
      <c r="C490" s="58"/>
      <c r="D490" s="15"/>
      <c r="E490" s="15" t="s">
        <v>513</v>
      </c>
      <c r="F490" s="17"/>
      <c r="G490" s="18"/>
      <c r="H490" s="17"/>
      <c r="I490" s="19"/>
      <c r="J490" s="78"/>
      <c r="L490" s="78"/>
    </row>
    <row r="491" spans="1:12" s="20" customFormat="1" ht="15.75">
      <c r="A491" s="54"/>
      <c r="B491" s="54" t="s">
        <v>261</v>
      </c>
      <c r="C491" s="170" t="s">
        <v>133</v>
      </c>
      <c r="D491" s="15" t="s">
        <v>284</v>
      </c>
      <c r="E491" s="15" t="s">
        <v>510</v>
      </c>
      <c r="F491" s="17"/>
      <c r="G491" s="18"/>
      <c r="H491" s="17"/>
      <c r="I491" s="19">
        <f>'[1]Місто'!$O$479</f>
        <v>549324</v>
      </c>
      <c r="J491" s="78"/>
      <c r="L491" s="78"/>
    </row>
    <row r="492" spans="1:12" s="20" customFormat="1" ht="30.75">
      <c r="A492" s="14"/>
      <c r="B492" s="14">
        <v>150101</v>
      </c>
      <c r="C492" s="166" t="s">
        <v>114</v>
      </c>
      <c r="D492" s="15" t="s">
        <v>511</v>
      </c>
      <c r="E492" s="15" t="s">
        <v>331</v>
      </c>
      <c r="F492" s="17">
        <v>3463549</v>
      </c>
      <c r="G492" s="18">
        <f>100-(H492/F492*100)</f>
        <v>5.75568585863806</v>
      </c>
      <c r="H492" s="17">
        <v>3264198</v>
      </c>
      <c r="I492" s="17">
        <v>3264198</v>
      </c>
      <c r="J492" s="78"/>
      <c r="L492" s="78"/>
    </row>
    <row r="493" spans="1:12" s="20" customFormat="1" ht="15.75" hidden="1">
      <c r="A493" s="14"/>
      <c r="B493" s="14"/>
      <c r="C493" s="58"/>
      <c r="D493" s="15"/>
      <c r="E493" s="15" t="s">
        <v>513</v>
      </c>
      <c r="F493" s="17"/>
      <c r="G493" s="18" t="e">
        <f>100-(H493/F493*100)</f>
        <v>#DIV/0!</v>
      </c>
      <c r="H493" s="17"/>
      <c r="I493" s="19"/>
      <c r="J493" s="78"/>
      <c r="L493" s="78"/>
    </row>
    <row r="494" spans="1:12" s="20" customFormat="1" ht="60.75" hidden="1">
      <c r="A494" s="14"/>
      <c r="B494" s="14">
        <v>150101</v>
      </c>
      <c r="C494" s="166" t="s">
        <v>114</v>
      </c>
      <c r="D494" s="15" t="s">
        <v>511</v>
      </c>
      <c r="E494" s="92" t="s">
        <v>155</v>
      </c>
      <c r="F494" s="189"/>
      <c r="G494" s="194"/>
      <c r="H494" s="189"/>
      <c r="I494" s="189">
        <f>3500000-1153760-2346240</f>
        <v>0</v>
      </c>
      <c r="J494" s="78"/>
      <c r="L494" s="78"/>
    </row>
    <row r="495" spans="1:12" s="20" customFormat="1" ht="15.75" hidden="1">
      <c r="A495" s="14"/>
      <c r="B495" s="14"/>
      <c r="C495" s="58"/>
      <c r="D495" s="15"/>
      <c r="E495" s="15" t="s">
        <v>513</v>
      </c>
      <c r="F495" s="17"/>
      <c r="G495" s="18"/>
      <c r="H495" s="17"/>
      <c r="I495" s="19"/>
      <c r="J495" s="78"/>
      <c r="L495" s="78"/>
    </row>
    <row r="496" spans="1:12" s="20" customFormat="1" ht="33" customHeight="1">
      <c r="A496" s="23"/>
      <c r="B496" s="23">
        <v>94</v>
      </c>
      <c r="C496" s="172"/>
      <c r="D496" s="24" t="s">
        <v>290</v>
      </c>
      <c r="E496" s="29"/>
      <c r="F496" s="30">
        <f>F499</f>
        <v>2500000</v>
      </c>
      <c r="G496" s="31"/>
      <c r="H496" s="25">
        <f>SUM(H497:H499)</f>
        <v>2500000</v>
      </c>
      <c r="I496" s="25">
        <f>SUM(I497:I499)</f>
        <v>2500000</v>
      </c>
      <c r="J496" s="81">
        <f>'[1]Місто'!$O$497-I496</f>
        <v>0</v>
      </c>
      <c r="L496" s="78"/>
    </row>
    <row r="497" spans="1:12" s="20" customFormat="1" ht="15.75" hidden="1">
      <c r="A497" s="14"/>
      <c r="B497" s="14" t="s">
        <v>508</v>
      </c>
      <c r="C497" s="58"/>
      <c r="D497" s="15" t="s">
        <v>509</v>
      </c>
      <c r="E497" s="15" t="s">
        <v>301</v>
      </c>
      <c r="F497" s="17"/>
      <c r="G497" s="18"/>
      <c r="H497" s="17"/>
      <c r="I497" s="17"/>
      <c r="J497" s="78"/>
      <c r="L497" s="78"/>
    </row>
    <row r="498" spans="1:12" s="20" customFormat="1" ht="21.75" customHeight="1" hidden="1">
      <c r="A498" s="14"/>
      <c r="B498" s="14" t="s">
        <v>261</v>
      </c>
      <c r="C498" s="58"/>
      <c r="D498" s="15" t="s">
        <v>284</v>
      </c>
      <c r="E498" s="15" t="s">
        <v>510</v>
      </c>
      <c r="F498" s="17"/>
      <c r="G498" s="18"/>
      <c r="H498" s="17"/>
      <c r="I498" s="17"/>
      <c r="J498" s="78"/>
      <c r="L498" s="78"/>
    </row>
    <row r="499" spans="1:12" s="20" customFormat="1" ht="30.75">
      <c r="A499" s="14"/>
      <c r="B499" s="14">
        <v>150101</v>
      </c>
      <c r="C499" s="166" t="s">
        <v>114</v>
      </c>
      <c r="D499" s="15" t="s">
        <v>511</v>
      </c>
      <c r="E499" s="92" t="s">
        <v>156</v>
      </c>
      <c r="F499" s="17">
        <v>2500000</v>
      </c>
      <c r="G499" s="18"/>
      <c r="H499" s="17">
        <v>2500000</v>
      </c>
      <c r="I499" s="19">
        <v>2500000</v>
      </c>
      <c r="J499" s="78"/>
      <c r="L499" s="78"/>
    </row>
    <row r="500" spans="1:12" s="26" customFormat="1" ht="35.25" customHeight="1">
      <c r="A500" s="23"/>
      <c r="B500" s="23">
        <v>95</v>
      </c>
      <c r="C500" s="172"/>
      <c r="D500" s="24" t="s">
        <v>291</v>
      </c>
      <c r="E500" s="24"/>
      <c r="F500" s="25">
        <f>SUM(F501:F504)</f>
        <v>10609909</v>
      </c>
      <c r="G500" s="25">
        <f>SUM(G501:G504)</f>
        <v>0</v>
      </c>
      <c r="H500" s="25">
        <f>SUM(H501:H504)</f>
        <v>10609909</v>
      </c>
      <c r="I500" s="25">
        <f>SUM(I501:I504)-I502</f>
        <v>487388</v>
      </c>
      <c r="J500" s="75">
        <f>'[1]Місто'!$O$522-I500</f>
        <v>0</v>
      </c>
      <c r="K500" s="34"/>
      <c r="L500" s="75"/>
    </row>
    <row r="501" spans="1:12" s="20" customFormat="1" ht="20.25" customHeight="1" hidden="1">
      <c r="A501" s="14"/>
      <c r="B501" s="14" t="s">
        <v>508</v>
      </c>
      <c r="C501" s="58" t="s">
        <v>508</v>
      </c>
      <c r="D501" s="15" t="s">
        <v>509</v>
      </c>
      <c r="E501" s="15" t="s">
        <v>301</v>
      </c>
      <c r="F501" s="17"/>
      <c r="G501" s="18"/>
      <c r="H501" s="17"/>
      <c r="I501" s="19"/>
      <c r="J501" s="78"/>
      <c r="L501" s="78"/>
    </row>
    <row r="502" spans="1:12" s="20" customFormat="1" ht="18" customHeight="1" hidden="1">
      <c r="A502" s="14"/>
      <c r="B502" s="14"/>
      <c r="C502" s="58"/>
      <c r="D502" s="15"/>
      <c r="E502" s="15" t="s">
        <v>513</v>
      </c>
      <c r="F502" s="17"/>
      <c r="G502" s="18"/>
      <c r="H502" s="17"/>
      <c r="I502" s="19"/>
      <c r="J502" s="78"/>
      <c r="L502" s="78"/>
    </row>
    <row r="503" spans="1:12" s="20" customFormat="1" ht="17.25" customHeight="1">
      <c r="A503" s="14"/>
      <c r="B503" s="14" t="s">
        <v>261</v>
      </c>
      <c r="C503" s="58" t="s">
        <v>261</v>
      </c>
      <c r="D503" s="15" t="s">
        <v>284</v>
      </c>
      <c r="E503" s="15" t="s">
        <v>510</v>
      </c>
      <c r="F503" s="17"/>
      <c r="G503" s="18"/>
      <c r="H503" s="17"/>
      <c r="I503" s="19">
        <f>'[1]Місто'!$O$526</f>
        <v>37398</v>
      </c>
      <c r="J503" s="78"/>
      <c r="L503" s="78"/>
    </row>
    <row r="504" spans="1:12" s="20" customFormat="1" ht="45.75">
      <c r="A504" s="14"/>
      <c r="B504" s="14" t="s">
        <v>285</v>
      </c>
      <c r="C504" s="166" t="s">
        <v>114</v>
      </c>
      <c r="D504" s="15" t="s">
        <v>511</v>
      </c>
      <c r="E504" s="92" t="s">
        <v>105</v>
      </c>
      <c r="F504" s="17">
        <v>10609909</v>
      </c>
      <c r="G504" s="18">
        <f>100-(H504/F504*100)</f>
        <v>0</v>
      </c>
      <c r="H504" s="17">
        <v>10609909</v>
      </c>
      <c r="I504" s="19">
        <v>449990</v>
      </c>
      <c r="J504" s="78"/>
      <c r="L504" s="78"/>
    </row>
    <row r="505" spans="1:12" s="20" customFormat="1" ht="15.75" hidden="1">
      <c r="A505" s="14"/>
      <c r="B505" s="14"/>
      <c r="C505" s="58"/>
      <c r="D505" s="15"/>
      <c r="E505" s="15" t="s">
        <v>513</v>
      </c>
      <c r="F505" s="17"/>
      <c r="G505" s="18"/>
      <c r="H505" s="17"/>
      <c r="I505" s="19"/>
      <c r="J505" s="78"/>
      <c r="L505" s="78"/>
    </row>
    <row r="506" spans="1:12" s="26" customFormat="1" ht="42" customHeight="1">
      <c r="A506" s="23"/>
      <c r="B506" s="23">
        <v>96</v>
      </c>
      <c r="C506" s="172"/>
      <c r="D506" s="24" t="s">
        <v>293</v>
      </c>
      <c r="E506" s="24"/>
      <c r="F506" s="25">
        <f>F507+F509+F510</f>
        <v>12000000</v>
      </c>
      <c r="G506" s="27"/>
      <c r="H506" s="25">
        <f>H507+H509+H510</f>
        <v>12000000</v>
      </c>
      <c r="I506" s="25">
        <f>I507+I509+I510</f>
        <v>526000</v>
      </c>
      <c r="J506" s="75">
        <f>'[1]Місто'!$O$543-I506</f>
        <v>0</v>
      </c>
      <c r="L506" s="77"/>
    </row>
    <row r="507" spans="1:12" s="20" customFormat="1" ht="18" customHeight="1" hidden="1">
      <c r="A507" s="14" t="s">
        <v>508</v>
      </c>
      <c r="B507" s="14" t="s">
        <v>508</v>
      </c>
      <c r="C507" s="58" t="s">
        <v>508</v>
      </c>
      <c r="D507" s="15" t="s">
        <v>509</v>
      </c>
      <c r="E507" s="15" t="s">
        <v>301</v>
      </c>
      <c r="F507" s="17"/>
      <c r="G507" s="18"/>
      <c r="H507" s="17"/>
      <c r="I507" s="19"/>
      <c r="J507" s="78"/>
      <c r="L507" s="78"/>
    </row>
    <row r="508" spans="1:12" s="20" customFormat="1" ht="20.25" customHeight="1" hidden="1">
      <c r="A508" s="14"/>
      <c r="B508" s="14"/>
      <c r="C508" s="58"/>
      <c r="D508" s="15"/>
      <c r="E508" s="15" t="s">
        <v>513</v>
      </c>
      <c r="F508" s="17"/>
      <c r="G508" s="18"/>
      <c r="H508" s="17"/>
      <c r="I508" s="19"/>
      <c r="J508" s="78"/>
      <c r="L508" s="78"/>
    </row>
    <row r="509" spans="1:12" s="20" customFormat="1" ht="20.25" customHeight="1" hidden="1">
      <c r="A509" s="14">
        <v>100203</v>
      </c>
      <c r="B509" s="14">
        <v>100203</v>
      </c>
      <c r="C509" s="58">
        <v>100203</v>
      </c>
      <c r="D509" s="15" t="s">
        <v>284</v>
      </c>
      <c r="E509" s="15" t="s">
        <v>510</v>
      </c>
      <c r="F509" s="17"/>
      <c r="G509" s="18"/>
      <c r="H509" s="17"/>
      <c r="I509" s="19"/>
      <c r="J509" s="78"/>
      <c r="L509" s="78"/>
    </row>
    <row r="510" spans="1:12" s="20" customFormat="1" ht="31.5" customHeight="1">
      <c r="A510" s="14"/>
      <c r="B510" s="14" t="s">
        <v>285</v>
      </c>
      <c r="C510" s="166" t="s">
        <v>114</v>
      </c>
      <c r="D510" s="15" t="s">
        <v>511</v>
      </c>
      <c r="E510" s="92" t="s">
        <v>106</v>
      </c>
      <c r="F510" s="17">
        <v>12000000</v>
      </c>
      <c r="G510" s="18"/>
      <c r="H510" s="17">
        <v>12000000</v>
      </c>
      <c r="I510" s="19">
        <v>526000</v>
      </c>
      <c r="J510" s="78"/>
      <c r="L510" s="78"/>
    </row>
    <row r="511" spans="1:12" s="20" customFormat="1" ht="31.5" customHeight="1" hidden="1">
      <c r="A511" s="14" t="s">
        <v>243</v>
      </c>
      <c r="B511" s="14" t="s">
        <v>243</v>
      </c>
      <c r="C511" s="58" t="s">
        <v>243</v>
      </c>
      <c r="D511" s="15" t="s">
        <v>244</v>
      </c>
      <c r="E511" s="15" t="s">
        <v>510</v>
      </c>
      <c r="F511" s="17"/>
      <c r="G511" s="18"/>
      <c r="H511" s="17"/>
      <c r="I511" s="19"/>
      <c r="J511" s="78"/>
      <c r="L511" s="78"/>
    </row>
    <row r="512" spans="1:16" s="26" customFormat="1" ht="21" customHeight="1">
      <c r="A512" s="32"/>
      <c r="B512" s="32"/>
      <c r="C512" s="175"/>
      <c r="D512" s="33" t="s">
        <v>294</v>
      </c>
      <c r="E512" s="33"/>
      <c r="F512" s="28">
        <f>F10+F20+F67+F116+F133+F148+F158+F380+F392+F409+F436+F440+F473+F486+F496+F500+F506+F467+F459+F462</f>
        <v>631274152</v>
      </c>
      <c r="G512" s="28"/>
      <c r="H512" s="28">
        <f>H10+H20+H67+H116+H133+H148+H158+H380+H392+H409+H436+H440+H473+H486+H496+H500+H506+H467+H459+H462</f>
        <v>497570681</v>
      </c>
      <c r="I512" s="28">
        <f>I10+I20+I67+I116+I133+I148+I158+I380+I392+I409+I436+I440+I473+I486+I496+I500+I506+I467+I459+I390+I131+I462</f>
        <v>649647396</v>
      </c>
      <c r="J512" s="75">
        <f>'[1]Місто'!$O$563-I512</f>
        <v>0</v>
      </c>
      <c r="K512" s="76"/>
      <c r="L512" s="75"/>
      <c r="P512" s="34"/>
    </row>
    <row r="513" spans="1:9" s="20" customFormat="1" ht="18" customHeight="1">
      <c r="A513" s="65"/>
      <c r="B513" s="65"/>
      <c r="C513" s="65"/>
      <c r="D513" s="66"/>
      <c r="E513" s="66"/>
      <c r="F513" s="65"/>
      <c r="G513" s="65"/>
      <c r="H513" s="65"/>
      <c r="I513" s="67"/>
    </row>
    <row r="514" spans="1:9" s="20" customFormat="1" ht="31.5">
      <c r="A514" s="65"/>
      <c r="B514" s="65"/>
      <c r="C514" s="148" t="s">
        <v>295</v>
      </c>
      <c r="E514" s="66"/>
      <c r="F514" s="65"/>
      <c r="G514" s="65"/>
      <c r="H514" s="149" t="s">
        <v>296</v>
      </c>
      <c r="I514" s="67"/>
    </row>
    <row r="516" ht="15" hidden="1"/>
    <row r="517" spans="7:8" ht="15" hidden="1">
      <c r="G517" s="1">
        <v>10116</v>
      </c>
      <c r="H517" s="70">
        <f>I11+I117+I377+I387+I463+I474+I468+I487+I497+I501+I507</f>
        <v>5029261</v>
      </c>
    </row>
    <row r="518" spans="7:8" ht="15" hidden="1">
      <c r="G518" s="1">
        <v>70000</v>
      </c>
      <c r="H518" s="70">
        <f>I22+I24+I26+I28+I32</f>
        <v>20028999</v>
      </c>
    </row>
    <row r="519" spans="7:8" ht="15" hidden="1">
      <c r="G519" s="1">
        <v>80000</v>
      </c>
      <c r="H519" s="70">
        <f>I69+I71+I73+I75+I77</f>
        <v>43403118</v>
      </c>
    </row>
    <row r="520" spans="7:8" ht="15" hidden="1">
      <c r="G520" s="1">
        <v>90000</v>
      </c>
      <c r="H520" s="70">
        <f>I121+I123</f>
        <v>1084808</v>
      </c>
    </row>
    <row r="521" spans="7:8" ht="15" hidden="1">
      <c r="G521" s="1">
        <v>110000</v>
      </c>
      <c r="H521" s="70">
        <f>I134+I136+I138+I140+I142</f>
        <v>3770972</v>
      </c>
    </row>
    <row r="522" spans="7:8" ht="15" hidden="1">
      <c r="G522" s="1">
        <v>100203</v>
      </c>
      <c r="H522" s="70">
        <f>I164+I470</f>
        <v>2083465</v>
      </c>
    </row>
    <row r="523" spans="7:8" ht="15" hidden="1">
      <c r="G523" s="1">
        <v>250404</v>
      </c>
      <c r="H523" s="70" t="e">
        <f>#REF!</f>
        <v>#REF!</v>
      </c>
    </row>
    <row r="524" spans="7:8" ht="15" hidden="1">
      <c r="G524" s="1">
        <v>210000</v>
      </c>
      <c r="H524" s="70">
        <f>I438+I439</f>
        <v>1531097</v>
      </c>
    </row>
    <row r="525" spans="7:8" ht="15" hidden="1">
      <c r="G525" s="1">
        <v>171000</v>
      </c>
      <c r="H525" s="70">
        <f>I421</f>
        <v>11661651</v>
      </c>
    </row>
    <row r="526" spans="7:8" ht="15" hidden="1">
      <c r="G526" s="1">
        <v>180409</v>
      </c>
      <c r="H526" s="70">
        <f>I360+I424</f>
        <v>93939350</v>
      </c>
    </row>
    <row r="527" spans="7:8" ht="15" hidden="1">
      <c r="G527" s="1">
        <v>150101</v>
      </c>
      <c r="H527" s="70" t="e">
        <f>I504+I494+I492+#REF!+#REF!+#REF!+#REF!+I484+I481+I479+I477+#REF!+I455+I451+I446+I445+I442+I413+I412+I341+#REF!+#REF!+#REF!+#REF!+#REF!+#REF!+#REF!+#REF!+#REF!+#REF!+#REF!+#REF!+#REF!+#REF!+#REF!+#REF!+#REF!+#REF!+#REF!+#REF!+#REF!+#REF!+#REF!+#REF!+#REF!+#REF!+#REF!+#REF!+#REF!+#REF!+#REF!+#REF!+#REF!+#REF!+#REF!+#REF!+#REF!+#REF!+#REF!+#REF!+#REF!+#REF!+#REF!+#REF!+#REF!+#REF!+#REF!+#REF!+#REF!+#REF!+#REF!+#REF!+#REF!+#REF!+#REF!+#REF!+#REF!+#REF!+#REF!+#REF!+#REF!+#REF!+#REF!+#REF!+#REF!+#REF!+#REF!+#REF!+#REF!+#REF!+#REF!+#REF!+#REF!+#REF!+#REF!+#REF!+#REF!+I323+I200+I198+I194+I181+I179+I176+I173+I171+I169+I150+I144+I129+I107+I105+I104+I103+I101+I99+I94+I92+I91+I90+I88+I86+I85+I83+I81+#REF!+I52+I50+I48+I46+I44+I42+I40+#REF!+#REF!+I14</f>
        <v>#REF!</v>
      </c>
    </row>
    <row r="528" ht="15" hidden="1"/>
  </sheetData>
  <sheetProtection selectLockedCells="1" selectUnlockedCells="1"/>
  <mergeCells count="1">
    <mergeCell ref="C5:I5"/>
  </mergeCells>
  <printOptions/>
  <pageMargins left="0.4724409448818898" right="0.31496062992125984" top="1.16" bottom="0.2755905511811024" header="0.59" footer="0.3937007874015748"/>
  <pageSetup fitToHeight="44" fitToWidth="1" horizontalDpi="600" verticalDpi="600" orientation="landscape" paperSize="9" scale="60" r:id="rId1"/>
  <headerFooter alignWithMargins="0">
    <oddHeader>&amp;C&amp;P</oddHeader>
  </headerFooter>
  <rowBreaks count="2" manualBreakCount="2">
    <brk id="114" max="8" man="1"/>
    <brk id="180" max="8" man="1"/>
  </rowBreaks>
</worksheet>
</file>

<file path=xl/worksheets/sheet2.xml><?xml version="1.0" encoding="utf-8"?>
<worksheet xmlns="http://schemas.openxmlformats.org/spreadsheetml/2006/main" xmlns:r="http://schemas.openxmlformats.org/officeDocument/2006/relationships">
  <sheetPr>
    <pageSetUpPr fitToPage="1"/>
  </sheetPr>
  <dimension ref="A1:P470"/>
  <sheetViews>
    <sheetView view="pageBreakPreview" zoomScale="75" zoomScaleNormal="74" zoomScaleSheetLayoutView="75" zoomScalePageLayoutView="0" workbookViewId="0" topLeftCell="A1">
      <pane ySplit="10" topLeftCell="BM359" activePane="bottomLeft" state="frozen"/>
      <selection pane="topLeft" activeCell="A1" sqref="A1"/>
      <selection pane="bottomLeft" activeCell="D371" sqref="D371"/>
    </sheetView>
  </sheetViews>
  <sheetFormatPr defaultColWidth="9.140625" defaultRowHeight="15"/>
  <cols>
    <col min="1" max="1" width="13.8515625" style="1" customWidth="1"/>
    <col min="2" max="2" width="17.00390625" style="1" customWidth="1"/>
    <col min="3" max="3" width="17.28125" style="1" customWidth="1"/>
    <col min="4" max="4" width="53.7109375" style="2" customWidth="1"/>
    <col min="5" max="5" width="61.8515625" style="2" customWidth="1"/>
    <col min="6" max="6" width="16.28125" style="1" customWidth="1"/>
    <col min="7" max="7" width="14.140625" style="1" customWidth="1"/>
    <col min="8" max="8" width="15.8515625" style="1" customWidth="1"/>
    <col min="9" max="9" width="15.57421875" style="9" customWidth="1"/>
    <col min="10" max="10" width="13.140625" style="3" customWidth="1"/>
    <col min="11" max="11" width="18.7109375" style="3" customWidth="1"/>
    <col min="12" max="15" width="9.140625" style="3" customWidth="1"/>
    <col min="16" max="16" width="11.7109375" style="3" bestFit="1" customWidth="1"/>
    <col min="17" max="16384" width="9.140625" style="3" customWidth="1"/>
  </cols>
  <sheetData>
    <row r="1" spans="6:8" ht="27.75">
      <c r="F1" s="99" t="s">
        <v>349</v>
      </c>
      <c r="H1" s="13"/>
    </row>
    <row r="2" spans="6:8" ht="27.75">
      <c r="F2" s="99" t="s">
        <v>344</v>
      </c>
      <c r="H2" s="13"/>
    </row>
    <row r="3" spans="6:8" ht="27.75">
      <c r="F3" s="99" t="s">
        <v>347</v>
      </c>
      <c r="H3" s="13"/>
    </row>
    <row r="4" spans="6:8" ht="26.25">
      <c r="F4" s="100" t="s">
        <v>348</v>
      </c>
      <c r="H4" s="4"/>
    </row>
    <row r="5" ht="15" hidden="1"/>
    <row r="6" spans="1:9" ht="20.25" customHeight="1">
      <c r="A6" s="3"/>
      <c r="B6" s="3"/>
      <c r="C6" s="198" t="s">
        <v>350</v>
      </c>
      <c r="D6" s="198"/>
      <c r="E6" s="198"/>
      <c r="F6" s="198"/>
      <c r="G6" s="198"/>
      <c r="H6" s="198"/>
      <c r="I6" s="198"/>
    </row>
    <row r="7" spans="1:9" ht="15">
      <c r="A7" s="5"/>
      <c r="B7" s="5"/>
      <c r="C7" s="5"/>
      <c r="D7" s="6"/>
      <c r="E7" s="6"/>
      <c r="F7" s="5"/>
      <c r="G7" s="5"/>
      <c r="H7" s="5"/>
      <c r="I7" s="10"/>
    </row>
    <row r="8" spans="1:9" ht="15">
      <c r="A8" s="5"/>
      <c r="B8" s="5"/>
      <c r="C8" s="5"/>
      <c r="D8" s="6"/>
      <c r="E8" s="6"/>
      <c r="F8" s="5"/>
      <c r="G8" s="5"/>
      <c r="H8" s="5"/>
      <c r="I8" s="10" t="s">
        <v>351</v>
      </c>
    </row>
    <row r="9" spans="1:9" s="8" customFormat="1" ht="110.25">
      <c r="A9" s="12" t="s">
        <v>352</v>
      </c>
      <c r="B9" s="12" t="s">
        <v>353</v>
      </c>
      <c r="C9" s="12" t="s">
        <v>365</v>
      </c>
      <c r="D9" s="12" t="s">
        <v>366</v>
      </c>
      <c r="E9" s="12" t="s">
        <v>345</v>
      </c>
      <c r="F9" s="12" t="s">
        <v>502</v>
      </c>
      <c r="G9" s="12" t="s">
        <v>503</v>
      </c>
      <c r="H9" s="12" t="s">
        <v>504</v>
      </c>
      <c r="I9" s="98" t="s">
        <v>505</v>
      </c>
    </row>
    <row r="10" spans="1:11" s="8" customFormat="1" ht="15">
      <c r="A10" s="7">
        <v>1</v>
      </c>
      <c r="B10" s="7">
        <v>2</v>
      </c>
      <c r="C10" s="7">
        <v>3</v>
      </c>
      <c r="D10" s="7">
        <v>4</v>
      </c>
      <c r="E10" s="7">
        <v>5</v>
      </c>
      <c r="F10" s="7">
        <v>6</v>
      </c>
      <c r="G10" s="7">
        <v>7</v>
      </c>
      <c r="H10" s="7">
        <v>8</v>
      </c>
      <c r="I10" s="11">
        <v>9</v>
      </c>
      <c r="K10" s="74"/>
    </row>
    <row r="11" spans="1:12" s="26" customFormat="1" ht="18.75" customHeight="1" hidden="1">
      <c r="A11" s="23"/>
      <c r="B11" s="23" t="s">
        <v>506</v>
      </c>
      <c r="C11" s="23"/>
      <c r="D11" s="24" t="s">
        <v>507</v>
      </c>
      <c r="E11" s="24"/>
      <c r="F11" s="25">
        <f>SUM(F16:F17)-F17</f>
        <v>0</v>
      </c>
      <c r="G11" s="25"/>
      <c r="H11" s="25">
        <f>SUM(H16:H17)-H17</f>
        <v>0</v>
      </c>
      <c r="I11" s="25">
        <f>SUM(I12:I17)-I17-I13-I15</f>
        <v>3148845</v>
      </c>
      <c r="J11" s="75">
        <f>'[1]Місто'!$O$11-I11</f>
        <v>-71544</v>
      </c>
      <c r="K11" s="34"/>
      <c r="L11" s="75"/>
    </row>
    <row r="12" spans="1:12" s="26" customFormat="1" ht="21" customHeight="1" hidden="1">
      <c r="A12" s="14"/>
      <c r="B12" s="14" t="s">
        <v>508</v>
      </c>
      <c r="C12" s="14"/>
      <c r="D12" s="15" t="s">
        <v>509</v>
      </c>
      <c r="E12" s="15" t="s">
        <v>510</v>
      </c>
      <c r="F12" s="19"/>
      <c r="G12" s="19"/>
      <c r="H12" s="19"/>
      <c r="I12" s="19">
        <v>3148845</v>
      </c>
      <c r="J12" s="77"/>
      <c r="L12" s="77"/>
    </row>
    <row r="13" spans="1:12" s="26" customFormat="1" ht="18" customHeight="1" hidden="1">
      <c r="A13" s="14"/>
      <c r="B13" s="14"/>
      <c r="C13" s="14"/>
      <c r="D13" s="15"/>
      <c r="E13" s="15" t="s">
        <v>513</v>
      </c>
      <c r="F13" s="19"/>
      <c r="G13" s="19"/>
      <c r="H13" s="19"/>
      <c r="I13" s="19"/>
      <c r="J13" s="77"/>
      <c r="L13" s="77"/>
    </row>
    <row r="14" spans="1:12" s="26" customFormat="1" ht="18.75" customHeight="1" hidden="1">
      <c r="A14" s="14"/>
      <c r="B14" s="14">
        <v>120201</v>
      </c>
      <c r="C14" s="14"/>
      <c r="D14" s="15" t="s">
        <v>305</v>
      </c>
      <c r="E14" s="15" t="s">
        <v>510</v>
      </c>
      <c r="F14" s="19"/>
      <c r="G14" s="19"/>
      <c r="H14" s="19"/>
      <c r="I14" s="19"/>
      <c r="J14" s="77"/>
      <c r="L14" s="77"/>
    </row>
    <row r="15" spans="1:12" s="26" customFormat="1" ht="18.75" customHeight="1" hidden="1">
      <c r="A15" s="14"/>
      <c r="B15" s="14"/>
      <c r="C15" s="14"/>
      <c r="D15" s="15"/>
      <c r="E15" s="15" t="s">
        <v>513</v>
      </c>
      <c r="F15" s="19"/>
      <c r="G15" s="19"/>
      <c r="H15" s="19"/>
      <c r="I15" s="19"/>
      <c r="J15" s="77"/>
      <c r="L15" s="77"/>
    </row>
    <row r="16" spans="1:12" s="20" customFormat="1" ht="30.75" hidden="1">
      <c r="A16" s="14"/>
      <c r="B16" s="14">
        <v>150101</v>
      </c>
      <c r="C16" s="14"/>
      <c r="D16" s="15" t="s">
        <v>511</v>
      </c>
      <c r="E16" s="15" t="s">
        <v>512</v>
      </c>
      <c r="F16" s="17"/>
      <c r="G16" s="18"/>
      <c r="H16" s="17"/>
      <c r="I16" s="19"/>
      <c r="J16" s="78"/>
      <c r="L16" s="78"/>
    </row>
    <row r="17" spans="1:12" s="20" customFormat="1" ht="15.75" hidden="1">
      <c r="A17" s="14"/>
      <c r="B17" s="14"/>
      <c r="C17" s="14"/>
      <c r="D17" s="35"/>
      <c r="E17" s="15" t="s">
        <v>513</v>
      </c>
      <c r="F17" s="17"/>
      <c r="G17" s="18"/>
      <c r="H17" s="17"/>
      <c r="I17" s="19"/>
      <c r="J17" s="78"/>
      <c r="L17" s="78"/>
    </row>
    <row r="18" spans="1:12" s="36" customFormat="1" ht="31.5" hidden="1">
      <c r="A18" s="23"/>
      <c r="B18" s="23">
        <v>10</v>
      </c>
      <c r="C18" s="23"/>
      <c r="D18" s="24" t="s">
        <v>514</v>
      </c>
      <c r="E18" s="24"/>
      <c r="F18" s="25">
        <f>F20+F22+F24+F26+F30+F34+F37+F39+F41+F43+F45+F47+F49+F51+F53+F57+F19+F29+F28+F55+F56+F36+F32+F33+F58+F59+F60+F61+F62+F63</f>
        <v>176283663</v>
      </c>
      <c r="G18" s="72"/>
      <c r="H18" s="25">
        <f>H20+H22+H24+H26+H30+H34+H37+H39+H41+H43+H45+H47+H49+H51+H53+H57+H19+H29+H28+H55+H56+H36+H32+H33+H58+H59+H60+H61+H62+H63</f>
        <v>132834850</v>
      </c>
      <c r="I18" s="25">
        <f>I20+I22+I24+I26+I30+I34+I37+I39+I41+I43+I45+I47+I49+I51+I53+I57+I19+I29+I28+I55+I56+I36+I32+I33+I58+I59+I60+I61+I62+I63</f>
        <v>48257006</v>
      </c>
      <c r="J18" s="75">
        <f>'[1]Місто'!$O$37-I18</f>
        <v>13185119</v>
      </c>
      <c r="K18" s="73"/>
      <c r="L18" s="82"/>
    </row>
    <row r="19" spans="1:12" s="26" customFormat="1" ht="21" customHeight="1" hidden="1">
      <c r="A19" s="14"/>
      <c r="B19" s="14" t="s">
        <v>508</v>
      </c>
      <c r="C19" s="14"/>
      <c r="D19" s="15" t="s">
        <v>509</v>
      </c>
      <c r="E19" s="15" t="s">
        <v>510</v>
      </c>
      <c r="F19" s="19"/>
      <c r="G19" s="19"/>
      <c r="H19" s="19"/>
      <c r="I19" s="19"/>
      <c r="J19" s="77"/>
      <c r="L19" s="77"/>
    </row>
    <row r="20" spans="1:12" s="20" customFormat="1" ht="15.75" hidden="1">
      <c r="A20" s="37"/>
      <c r="B20" s="37" t="s">
        <v>515</v>
      </c>
      <c r="C20" s="37"/>
      <c r="D20" s="38" t="s">
        <v>516</v>
      </c>
      <c r="E20" s="15" t="s">
        <v>510</v>
      </c>
      <c r="F20" s="17"/>
      <c r="G20" s="18"/>
      <c r="H20" s="17"/>
      <c r="I20" s="40">
        <v>4243591</v>
      </c>
      <c r="J20" s="78"/>
      <c r="L20" s="78"/>
    </row>
    <row r="21" spans="1:12" s="20" customFormat="1" ht="15.75" hidden="1">
      <c r="A21" s="37"/>
      <c r="B21" s="37"/>
      <c r="C21" s="37"/>
      <c r="D21" s="38"/>
      <c r="E21" s="15" t="s">
        <v>513</v>
      </c>
      <c r="F21" s="17"/>
      <c r="G21" s="18"/>
      <c r="H21" s="17"/>
      <c r="I21" s="19"/>
      <c r="J21" s="78"/>
      <c r="L21" s="78"/>
    </row>
    <row r="22" spans="1:12" s="20" customFormat="1" ht="45.75" hidden="1">
      <c r="A22" s="37"/>
      <c r="B22" s="37" t="s">
        <v>517</v>
      </c>
      <c r="C22" s="37"/>
      <c r="D22" s="39" t="s">
        <v>518</v>
      </c>
      <c r="E22" s="15" t="s">
        <v>510</v>
      </c>
      <c r="F22" s="17"/>
      <c r="G22" s="18"/>
      <c r="H22" s="17"/>
      <c r="I22" s="19">
        <v>4585140</v>
      </c>
      <c r="J22" s="78"/>
      <c r="L22" s="78"/>
    </row>
    <row r="23" spans="1:12" s="20" customFormat="1" ht="15.75" hidden="1">
      <c r="A23" s="37"/>
      <c r="B23" s="37"/>
      <c r="C23" s="37"/>
      <c r="D23" s="39"/>
      <c r="E23" s="15" t="s">
        <v>513</v>
      </c>
      <c r="F23" s="17"/>
      <c r="G23" s="18"/>
      <c r="H23" s="17"/>
      <c r="I23" s="40"/>
      <c r="J23" s="78"/>
      <c r="L23" s="78"/>
    </row>
    <row r="24" spans="1:12" s="20" customFormat="1" ht="15.75" hidden="1">
      <c r="A24" s="37"/>
      <c r="B24" s="37" t="s">
        <v>312</v>
      </c>
      <c r="C24" s="37"/>
      <c r="D24" s="39" t="s">
        <v>313</v>
      </c>
      <c r="E24" s="15" t="s">
        <v>510</v>
      </c>
      <c r="F24" s="17"/>
      <c r="G24" s="18"/>
      <c r="H24" s="17"/>
      <c r="I24" s="19">
        <v>21500</v>
      </c>
      <c r="J24" s="78"/>
      <c r="L24" s="78"/>
    </row>
    <row r="25" spans="1:12" s="20" customFormat="1" ht="15.75" hidden="1">
      <c r="A25" s="37"/>
      <c r="B25" s="37"/>
      <c r="C25" s="37"/>
      <c r="D25" s="39"/>
      <c r="E25" s="15" t="s">
        <v>513</v>
      </c>
      <c r="F25" s="17"/>
      <c r="G25" s="18"/>
      <c r="H25" s="17"/>
      <c r="I25" s="40"/>
      <c r="J25" s="78"/>
      <c r="L25" s="78"/>
    </row>
    <row r="26" spans="1:12" s="20" customFormat="1" ht="30.75" hidden="1">
      <c r="A26" s="37"/>
      <c r="B26" s="37" t="s">
        <v>519</v>
      </c>
      <c r="C26" s="37"/>
      <c r="D26" s="39" t="s">
        <v>520</v>
      </c>
      <c r="E26" s="15" t="s">
        <v>510</v>
      </c>
      <c r="F26" s="17"/>
      <c r="G26" s="18"/>
      <c r="H26" s="17"/>
      <c r="I26" s="19">
        <v>249874</v>
      </c>
      <c r="J26" s="78"/>
      <c r="L26" s="78"/>
    </row>
    <row r="27" spans="1:12" s="20" customFormat="1" ht="15.75" hidden="1">
      <c r="A27" s="37"/>
      <c r="B27" s="37"/>
      <c r="C27" s="37"/>
      <c r="D27" s="39"/>
      <c r="E27" s="15" t="s">
        <v>513</v>
      </c>
      <c r="F27" s="17"/>
      <c r="G27" s="18"/>
      <c r="H27" s="17"/>
      <c r="I27" s="40"/>
      <c r="J27" s="78"/>
      <c r="L27" s="78"/>
    </row>
    <row r="28" spans="1:12" s="20" customFormat="1" ht="30.75" hidden="1">
      <c r="A28" s="37"/>
      <c r="B28" s="37" t="s">
        <v>257</v>
      </c>
      <c r="C28" s="37"/>
      <c r="D28" s="39" t="s">
        <v>258</v>
      </c>
      <c r="E28" s="15" t="s">
        <v>510</v>
      </c>
      <c r="F28" s="17"/>
      <c r="G28" s="18"/>
      <c r="H28" s="17"/>
      <c r="I28" s="40">
        <v>15000</v>
      </c>
      <c r="J28" s="78"/>
      <c r="L28" s="78"/>
    </row>
    <row r="29" spans="1:12" s="20" customFormat="1" ht="45.75" hidden="1">
      <c r="A29" s="37"/>
      <c r="B29" s="37" t="s">
        <v>18</v>
      </c>
      <c r="C29" s="37"/>
      <c r="D29" s="39" t="s">
        <v>19</v>
      </c>
      <c r="E29" s="15" t="s">
        <v>510</v>
      </c>
      <c r="F29" s="17"/>
      <c r="G29" s="18"/>
      <c r="H29" s="17"/>
      <c r="I29" s="40">
        <v>17400</v>
      </c>
      <c r="J29" s="78"/>
      <c r="L29" s="78"/>
    </row>
    <row r="30" spans="1:12" s="20" customFormat="1" ht="30.75" hidden="1">
      <c r="A30" s="37"/>
      <c r="B30" s="37" t="s">
        <v>529</v>
      </c>
      <c r="C30" s="37"/>
      <c r="D30" s="39" t="s">
        <v>530</v>
      </c>
      <c r="E30" s="15" t="s">
        <v>510</v>
      </c>
      <c r="F30" s="17"/>
      <c r="G30" s="18"/>
      <c r="H30" s="17"/>
      <c r="I30" s="19">
        <v>197485</v>
      </c>
      <c r="J30" s="78"/>
      <c r="L30" s="78"/>
    </row>
    <row r="31" spans="1:12" s="20" customFormat="1" ht="15.75" hidden="1">
      <c r="A31" s="37"/>
      <c r="B31" s="37"/>
      <c r="C31" s="37"/>
      <c r="D31" s="39"/>
      <c r="E31" s="15" t="s">
        <v>513</v>
      </c>
      <c r="F31" s="17"/>
      <c r="G31" s="18"/>
      <c r="H31" s="17"/>
      <c r="I31" s="40"/>
      <c r="J31" s="78"/>
      <c r="L31" s="78"/>
    </row>
    <row r="32" spans="1:12" s="20" customFormat="1" ht="30.75" hidden="1">
      <c r="A32" s="37"/>
      <c r="B32" s="37" t="s">
        <v>255</v>
      </c>
      <c r="C32" s="37"/>
      <c r="D32" s="39" t="s">
        <v>256</v>
      </c>
      <c r="E32" s="15" t="s">
        <v>510</v>
      </c>
      <c r="F32" s="17"/>
      <c r="G32" s="18"/>
      <c r="H32" s="17"/>
      <c r="I32" s="40">
        <v>58710</v>
      </c>
      <c r="J32" s="78"/>
      <c r="L32" s="78"/>
    </row>
    <row r="33" spans="1:12" s="20" customFormat="1" ht="15.75" hidden="1">
      <c r="A33" s="37"/>
      <c r="B33" s="37" t="s">
        <v>16</v>
      </c>
      <c r="C33" s="37"/>
      <c r="D33" s="144" t="s">
        <v>42</v>
      </c>
      <c r="E33" s="15" t="s">
        <v>510</v>
      </c>
      <c r="F33" s="17"/>
      <c r="G33" s="18"/>
      <c r="H33" s="17"/>
      <c r="I33" s="40">
        <v>10000</v>
      </c>
      <c r="J33" s="78"/>
      <c r="L33" s="78"/>
    </row>
    <row r="34" spans="1:12" s="20" customFormat="1" ht="30.75" hidden="1">
      <c r="A34" s="37"/>
      <c r="B34" s="37" t="s">
        <v>320</v>
      </c>
      <c r="C34" s="37"/>
      <c r="D34" s="39" t="s">
        <v>321</v>
      </c>
      <c r="E34" s="15" t="s">
        <v>510</v>
      </c>
      <c r="F34" s="17"/>
      <c r="G34" s="18"/>
      <c r="H34" s="17"/>
      <c r="I34" s="19">
        <v>21000</v>
      </c>
      <c r="J34" s="78"/>
      <c r="L34" s="78"/>
    </row>
    <row r="35" spans="1:12" s="20" customFormat="1" ht="15.75" hidden="1">
      <c r="A35" s="37"/>
      <c r="B35" s="37"/>
      <c r="C35" s="37"/>
      <c r="D35" s="39"/>
      <c r="E35" s="15" t="s">
        <v>513</v>
      </c>
      <c r="F35" s="17"/>
      <c r="G35" s="18"/>
      <c r="H35" s="17"/>
      <c r="I35" s="40"/>
      <c r="J35" s="78"/>
      <c r="L35" s="78"/>
    </row>
    <row r="36" spans="1:12" s="20" customFormat="1" ht="15.75" hidden="1">
      <c r="A36" s="88"/>
      <c r="B36" s="88" t="s">
        <v>318</v>
      </c>
      <c r="C36" s="88"/>
      <c r="D36" s="39" t="s">
        <v>319</v>
      </c>
      <c r="E36" s="15" t="s">
        <v>510</v>
      </c>
      <c r="F36" s="43"/>
      <c r="G36" s="44"/>
      <c r="H36" s="17"/>
      <c r="I36" s="40"/>
      <c r="J36" s="78"/>
      <c r="L36" s="78"/>
    </row>
    <row r="37" spans="1:12" s="20" customFormat="1" ht="30.75" hidden="1">
      <c r="A37" s="41"/>
      <c r="B37" s="41">
        <v>150101</v>
      </c>
      <c r="C37" s="41"/>
      <c r="D37" s="42" t="s">
        <v>511</v>
      </c>
      <c r="E37" s="42" t="s">
        <v>523</v>
      </c>
      <c r="F37" s="43">
        <v>6379139</v>
      </c>
      <c r="G37" s="44">
        <f>100-(H37/F37*100)</f>
        <v>72.80433926898286</v>
      </c>
      <c r="H37" s="17">
        <v>1734849</v>
      </c>
      <c r="I37" s="19">
        <v>457169</v>
      </c>
      <c r="J37" s="78"/>
      <c r="L37" s="78"/>
    </row>
    <row r="38" spans="1:12" s="20" customFormat="1" ht="15.75" hidden="1">
      <c r="A38" s="45"/>
      <c r="B38" s="45"/>
      <c r="C38" s="45"/>
      <c r="D38" s="46"/>
      <c r="E38" s="47" t="s">
        <v>513</v>
      </c>
      <c r="F38" s="48"/>
      <c r="G38" s="49"/>
      <c r="H38" s="50"/>
      <c r="I38" s="19"/>
      <c r="J38" s="78"/>
      <c r="L38" s="78"/>
    </row>
    <row r="39" spans="1:12" s="20" customFormat="1" ht="30.75" hidden="1">
      <c r="A39" s="45"/>
      <c r="B39" s="45">
        <v>150101</v>
      </c>
      <c r="C39" s="45"/>
      <c r="D39" s="47" t="s">
        <v>511</v>
      </c>
      <c r="E39" s="47" t="s">
        <v>524</v>
      </c>
      <c r="F39" s="48">
        <v>9880230</v>
      </c>
      <c r="G39" s="49">
        <f>100-(H39/F39*100)</f>
        <v>13.045212510235089</v>
      </c>
      <c r="H39" s="50">
        <v>8591333</v>
      </c>
      <c r="I39" s="19">
        <v>2000000</v>
      </c>
      <c r="J39" s="78"/>
      <c r="L39" s="78"/>
    </row>
    <row r="40" spans="1:12" s="20" customFormat="1" ht="15.75" hidden="1">
      <c r="A40" s="51"/>
      <c r="B40" s="51"/>
      <c r="C40" s="51"/>
      <c r="D40" s="52"/>
      <c r="E40" s="52" t="s">
        <v>513</v>
      </c>
      <c r="F40" s="53"/>
      <c r="G40" s="49"/>
      <c r="H40" s="17"/>
      <c r="I40" s="19"/>
      <c r="J40" s="78"/>
      <c r="L40" s="78"/>
    </row>
    <row r="41" spans="1:12" s="56" customFormat="1" ht="60.75" hidden="1">
      <c r="A41" s="54"/>
      <c r="B41" s="54">
        <v>150101</v>
      </c>
      <c r="C41" s="54"/>
      <c r="D41" s="22" t="s">
        <v>511</v>
      </c>
      <c r="E41" s="22" t="s">
        <v>525</v>
      </c>
      <c r="F41" s="19"/>
      <c r="G41" s="49"/>
      <c r="H41" s="19"/>
      <c r="I41" s="19"/>
      <c r="J41" s="79"/>
      <c r="L41" s="79"/>
    </row>
    <row r="42" spans="1:12" s="20" customFormat="1" ht="15.75" hidden="1">
      <c r="A42" s="51"/>
      <c r="B42" s="51"/>
      <c r="C42" s="51"/>
      <c r="D42" s="52"/>
      <c r="E42" s="52" t="s">
        <v>513</v>
      </c>
      <c r="F42" s="53"/>
      <c r="G42" s="49"/>
      <c r="H42" s="17"/>
      <c r="I42" s="19"/>
      <c r="J42" s="78"/>
      <c r="L42" s="78"/>
    </row>
    <row r="43" spans="1:12" s="20" customFormat="1" ht="45.75" hidden="1">
      <c r="A43" s="54"/>
      <c r="B43" s="54">
        <v>150101</v>
      </c>
      <c r="C43" s="54"/>
      <c r="D43" s="22" t="s">
        <v>511</v>
      </c>
      <c r="E43" s="22" t="s">
        <v>526</v>
      </c>
      <c r="F43" s="19"/>
      <c r="G43" s="55"/>
      <c r="H43" s="19"/>
      <c r="I43" s="19"/>
      <c r="J43" s="78"/>
      <c r="L43" s="78"/>
    </row>
    <row r="44" spans="1:12" s="20" customFormat="1" ht="15.75" hidden="1">
      <c r="A44" s="54"/>
      <c r="B44" s="54"/>
      <c r="C44" s="54"/>
      <c r="D44" s="22"/>
      <c r="E44" s="22" t="s">
        <v>513</v>
      </c>
      <c r="F44" s="19"/>
      <c r="G44" s="55"/>
      <c r="H44" s="19"/>
      <c r="I44" s="19"/>
      <c r="J44" s="78"/>
      <c r="L44" s="78"/>
    </row>
    <row r="45" spans="1:12" s="20" customFormat="1" ht="45.75" hidden="1">
      <c r="A45" s="14"/>
      <c r="B45" s="14">
        <v>150101</v>
      </c>
      <c r="C45" s="14"/>
      <c r="D45" s="15" t="s">
        <v>511</v>
      </c>
      <c r="E45" s="15" t="s">
        <v>24</v>
      </c>
      <c r="F45" s="17">
        <v>18053400</v>
      </c>
      <c r="G45" s="55">
        <f>100-(H45/F45*100)</f>
        <v>62.921017647645314</v>
      </c>
      <c r="H45" s="19">
        <v>6694017</v>
      </c>
      <c r="I45" s="19">
        <v>6694017</v>
      </c>
      <c r="J45" s="78"/>
      <c r="L45" s="78"/>
    </row>
    <row r="46" spans="1:12" s="20" customFormat="1" ht="15.75" hidden="1">
      <c r="A46" s="14"/>
      <c r="B46" s="14"/>
      <c r="C46" s="14"/>
      <c r="D46" s="15"/>
      <c r="E46" s="15" t="s">
        <v>513</v>
      </c>
      <c r="F46" s="17"/>
      <c r="G46" s="55"/>
      <c r="H46" s="17"/>
      <c r="I46" s="19"/>
      <c r="J46" s="78"/>
      <c r="L46" s="78"/>
    </row>
    <row r="47" spans="1:12" s="20" customFormat="1" ht="45.75" hidden="1">
      <c r="A47" s="14"/>
      <c r="B47" s="14">
        <v>150101</v>
      </c>
      <c r="C47" s="14"/>
      <c r="D47" s="15" t="s">
        <v>511</v>
      </c>
      <c r="E47" s="15" t="s">
        <v>335</v>
      </c>
      <c r="F47" s="17">
        <v>4860000</v>
      </c>
      <c r="G47" s="55">
        <f>100-(H47/F47*100)</f>
        <v>3.1767078189300406</v>
      </c>
      <c r="H47" s="17">
        <v>4705612</v>
      </c>
      <c r="I47" s="19">
        <v>200000</v>
      </c>
      <c r="J47" s="78"/>
      <c r="L47" s="78"/>
    </row>
    <row r="48" spans="1:12" s="20" customFormat="1" ht="15.75" hidden="1">
      <c r="A48" s="14"/>
      <c r="B48" s="14"/>
      <c r="C48" s="14"/>
      <c r="D48" s="15"/>
      <c r="E48" s="15" t="s">
        <v>513</v>
      </c>
      <c r="F48" s="17"/>
      <c r="G48" s="18"/>
      <c r="H48" s="17"/>
      <c r="I48" s="19"/>
      <c r="J48" s="78"/>
      <c r="L48" s="78"/>
    </row>
    <row r="49" spans="1:12" s="56" customFormat="1" ht="30.75" hidden="1">
      <c r="A49" s="54"/>
      <c r="B49" s="54">
        <v>150101</v>
      </c>
      <c r="C49" s="54"/>
      <c r="D49" s="22" t="s">
        <v>511</v>
      </c>
      <c r="E49" s="15" t="s">
        <v>25</v>
      </c>
      <c r="F49" s="19"/>
      <c r="G49" s="55"/>
      <c r="H49" s="19"/>
      <c r="I49" s="19"/>
      <c r="J49" s="79"/>
      <c r="L49" s="79"/>
    </row>
    <row r="50" spans="1:12" s="20" customFormat="1" ht="15.75" hidden="1">
      <c r="A50" s="14"/>
      <c r="B50" s="14"/>
      <c r="C50" s="14"/>
      <c r="D50" s="15"/>
      <c r="E50" s="15" t="s">
        <v>513</v>
      </c>
      <c r="F50" s="17"/>
      <c r="G50" s="55"/>
      <c r="H50" s="17"/>
      <c r="I50" s="19"/>
      <c r="J50" s="78"/>
      <c r="L50" s="78"/>
    </row>
    <row r="51" spans="1:12" s="20" customFormat="1" ht="45.75" hidden="1">
      <c r="A51" s="14"/>
      <c r="B51" s="14">
        <v>150101</v>
      </c>
      <c r="C51" s="14"/>
      <c r="D51" s="15" t="s">
        <v>511</v>
      </c>
      <c r="E51" s="15" t="s">
        <v>26</v>
      </c>
      <c r="F51" s="17">
        <v>7650634</v>
      </c>
      <c r="G51" s="55">
        <f>100-(H51/F51*100)</f>
        <v>28.40724049797703</v>
      </c>
      <c r="H51" s="17">
        <v>5477300</v>
      </c>
      <c r="I51" s="17">
        <v>5477300</v>
      </c>
      <c r="J51" s="78"/>
      <c r="L51" s="78"/>
    </row>
    <row r="52" spans="1:12" s="20" customFormat="1" ht="16.5" customHeight="1" hidden="1">
      <c r="A52" s="14"/>
      <c r="B52" s="14"/>
      <c r="C52" s="14"/>
      <c r="D52" s="15"/>
      <c r="E52" s="15" t="s">
        <v>513</v>
      </c>
      <c r="F52" s="17"/>
      <c r="G52" s="55"/>
      <c r="H52" s="17"/>
      <c r="I52" s="19"/>
      <c r="J52" s="78"/>
      <c r="L52" s="78"/>
    </row>
    <row r="53" spans="1:12" s="56" customFormat="1" ht="30.75" hidden="1">
      <c r="A53" s="54"/>
      <c r="B53" s="54">
        <v>150101</v>
      </c>
      <c r="C53" s="54"/>
      <c r="D53" s="22" t="s">
        <v>511</v>
      </c>
      <c r="E53" s="15" t="s">
        <v>13</v>
      </c>
      <c r="F53" s="19">
        <v>99995818</v>
      </c>
      <c r="G53" s="55">
        <f>100-(H53/F53*100)</f>
        <v>21.466350722787226</v>
      </c>
      <c r="H53" s="19">
        <v>78530365</v>
      </c>
      <c r="I53" s="19">
        <v>9869564</v>
      </c>
      <c r="J53" s="79"/>
      <c r="L53" s="79"/>
    </row>
    <row r="54" spans="1:12" s="56" customFormat="1" ht="15.75" hidden="1">
      <c r="A54" s="54"/>
      <c r="B54" s="54"/>
      <c r="C54" s="54"/>
      <c r="D54" s="22"/>
      <c r="E54" s="15" t="s">
        <v>513</v>
      </c>
      <c r="F54" s="19"/>
      <c r="G54" s="55"/>
      <c r="H54" s="19"/>
      <c r="I54" s="19"/>
      <c r="J54" s="79"/>
      <c r="L54" s="79"/>
    </row>
    <row r="55" spans="1:12" s="56" customFormat="1" ht="45.75" hidden="1">
      <c r="A55" s="54"/>
      <c r="B55" s="54">
        <v>150101</v>
      </c>
      <c r="C55" s="54"/>
      <c r="D55" s="22" t="s">
        <v>511</v>
      </c>
      <c r="E55" s="15" t="s">
        <v>336</v>
      </c>
      <c r="F55" s="93"/>
      <c r="G55" s="94"/>
      <c r="H55" s="93"/>
      <c r="I55" s="93"/>
      <c r="J55" s="79"/>
      <c r="L55" s="79"/>
    </row>
    <row r="56" spans="1:12" s="56" customFormat="1" ht="45.75" hidden="1">
      <c r="A56" s="54"/>
      <c r="B56" s="54">
        <v>150101</v>
      </c>
      <c r="C56" s="54"/>
      <c r="D56" s="22" t="s">
        <v>511</v>
      </c>
      <c r="E56" s="15" t="s">
        <v>337</v>
      </c>
      <c r="F56" s="93"/>
      <c r="G56" s="94"/>
      <c r="H56" s="93"/>
      <c r="I56" s="93"/>
      <c r="J56" s="79"/>
      <c r="L56" s="79"/>
    </row>
    <row r="57" spans="1:12" s="56" customFormat="1" ht="30.75" hidden="1">
      <c r="A57" s="54"/>
      <c r="B57" s="54">
        <v>150101</v>
      </c>
      <c r="C57" s="54"/>
      <c r="D57" s="22" t="s">
        <v>511</v>
      </c>
      <c r="E57" s="15" t="s">
        <v>1</v>
      </c>
      <c r="F57" s="19">
        <v>14129905</v>
      </c>
      <c r="G57" s="55">
        <f aca="true" t="shared" si="0" ref="G57:G62">100-(H57/F57*100)</f>
        <v>9.261994330464361</v>
      </c>
      <c r="H57" s="19">
        <v>12821194</v>
      </c>
      <c r="I57" s="19">
        <v>250000</v>
      </c>
      <c r="J57" s="79"/>
      <c r="L57" s="79"/>
    </row>
    <row r="58" spans="1:12" s="56" customFormat="1" ht="45.75" hidden="1">
      <c r="A58" s="54"/>
      <c r="B58" s="54">
        <v>150101</v>
      </c>
      <c r="C58" s="54"/>
      <c r="D58" s="22" t="s">
        <v>511</v>
      </c>
      <c r="E58" s="92" t="s">
        <v>369</v>
      </c>
      <c r="F58" s="19">
        <v>13134537</v>
      </c>
      <c r="G58" s="55">
        <f t="shared" si="0"/>
        <v>8.027363278964458</v>
      </c>
      <c r="H58" s="19">
        <v>12080180</v>
      </c>
      <c r="I58" s="19">
        <v>12080180</v>
      </c>
      <c r="J58" s="79"/>
      <c r="L58" s="79"/>
    </row>
    <row r="59" spans="1:12" s="56" customFormat="1" ht="45.75" hidden="1">
      <c r="A59" s="54"/>
      <c r="B59" s="54">
        <v>150101</v>
      </c>
      <c r="C59" s="54"/>
      <c r="D59" s="22" t="s">
        <v>511</v>
      </c>
      <c r="E59" s="92" t="s">
        <v>370</v>
      </c>
      <c r="F59" s="19">
        <v>500000</v>
      </c>
      <c r="G59" s="55">
        <f t="shared" si="0"/>
        <v>0</v>
      </c>
      <c r="H59" s="19">
        <v>500000</v>
      </c>
      <c r="I59" s="19">
        <v>500000</v>
      </c>
      <c r="J59" s="79"/>
      <c r="L59" s="79"/>
    </row>
    <row r="60" spans="1:12" s="56" customFormat="1" ht="45.75" hidden="1">
      <c r="A60" s="54"/>
      <c r="B60" s="54">
        <v>150101</v>
      </c>
      <c r="C60" s="54"/>
      <c r="D60" s="22" t="s">
        <v>511</v>
      </c>
      <c r="E60" s="92" t="s">
        <v>371</v>
      </c>
      <c r="F60" s="19">
        <v>350000</v>
      </c>
      <c r="G60" s="55">
        <f t="shared" si="0"/>
        <v>0</v>
      </c>
      <c r="H60" s="19">
        <v>350000</v>
      </c>
      <c r="I60" s="19">
        <v>350000</v>
      </c>
      <c r="J60" s="79"/>
      <c r="L60" s="79"/>
    </row>
    <row r="61" spans="1:12" s="56" customFormat="1" ht="45.75" hidden="1">
      <c r="A61" s="54"/>
      <c r="B61" s="54">
        <v>150101</v>
      </c>
      <c r="C61" s="54"/>
      <c r="D61" s="22" t="s">
        <v>511</v>
      </c>
      <c r="E61" s="92" t="s">
        <v>372</v>
      </c>
      <c r="F61" s="19">
        <v>350000</v>
      </c>
      <c r="G61" s="55">
        <f t="shared" si="0"/>
        <v>0</v>
      </c>
      <c r="H61" s="19">
        <v>350000</v>
      </c>
      <c r="I61" s="19">
        <v>350000</v>
      </c>
      <c r="J61" s="79"/>
      <c r="L61" s="79"/>
    </row>
    <row r="62" spans="1:12" s="56" customFormat="1" ht="45.75" hidden="1">
      <c r="A62" s="54"/>
      <c r="B62" s="54">
        <v>150101</v>
      </c>
      <c r="C62" s="54"/>
      <c r="D62" s="22" t="s">
        <v>511</v>
      </c>
      <c r="E62" s="92" t="s">
        <v>373</v>
      </c>
      <c r="F62" s="19">
        <v>1000000</v>
      </c>
      <c r="G62" s="55">
        <f t="shared" si="0"/>
        <v>0</v>
      </c>
      <c r="H62" s="19">
        <v>1000000</v>
      </c>
      <c r="I62" s="19">
        <v>603076</v>
      </c>
      <c r="J62" s="79"/>
      <c r="L62" s="79"/>
    </row>
    <row r="63" spans="1:12" s="56" customFormat="1" ht="15.75" hidden="1">
      <c r="A63" s="14"/>
      <c r="B63" s="14">
        <v>200700</v>
      </c>
      <c r="C63" s="14"/>
      <c r="D63" s="15" t="s">
        <v>364</v>
      </c>
      <c r="E63" s="15" t="s">
        <v>510</v>
      </c>
      <c r="F63" s="19"/>
      <c r="G63" s="55"/>
      <c r="H63" s="19"/>
      <c r="I63" s="19">
        <v>6000</v>
      </c>
      <c r="J63" s="79"/>
      <c r="L63" s="79"/>
    </row>
    <row r="64" spans="1:12" s="26" customFormat="1" ht="31.5" hidden="1">
      <c r="A64" s="23"/>
      <c r="B64" s="23">
        <v>14</v>
      </c>
      <c r="C64" s="23"/>
      <c r="D64" s="24" t="s">
        <v>27</v>
      </c>
      <c r="E64" s="24"/>
      <c r="F64" s="25">
        <f>F78+F80+F83+F85+F87+F89+F96+F91+F98+F100+F102+F104+F106+F107+F108+F109+F110+F111+F112+F65+F66+F68+F70+F72+F74</f>
        <v>69290661</v>
      </c>
      <c r="G64" s="25"/>
      <c r="H64" s="25">
        <f>H78+H80+H83+H85+H87+H89+H96+H91+H98+H100+H102+H104+H106+H107+H108+H109+H110+H111+H112+H65+H66+H68+H70+H72+H74</f>
        <v>46653132</v>
      </c>
      <c r="I64" s="25">
        <f>I78+I80+I83+I85+I87+I89+I96+I91+I98+I100+I102+I104+I106+I107+I108+I109+I110+I111+I112+I65+I66+I68+I70+I72+I74</f>
        <v>34826511</v>
      </c>
      <c r="J64" s="75">
        <f>'[1]Місто'!$O$89-I64</f>
        <v>25568418</v>
      </c>
      <c r="K64" s="34"/>
      <c r="L64" s="75"/>
    </row>
    <row r="65" spans="1:12" s="26" customFormat="1" ht="21" customHeight="1" hidden="1">
      <c r="A65" s="14"/>
      <c r="B65" s="14" t="s">
        <v>508</v>
      </c>
      <c r="C65" s="14"/>
      <c r="D65" s="15" t="s">
        <v>509</v>
      </c>
      <c r="E65" s="15" t="s">
        <v>510</v>
      </c>
      <c r="F65" s="19"/>
      <c r="G65" s="19"/>
      <c r="H65" s="19"/>
      <c r="I65" s="71">
        <v>78056</v>
      </c>
      <c r="J65" s="77"/>
      <c r="L65" s="77"/>
    </row>
    <row r="66" spans="1:12" s="20" customFormat="1" ht="15.75" hidden="1">
      <c r="A66" s="14"/>
      <c r="B66" s="14" t="s">
        <v>28</v>
      </c>
      <c r="C66" s="14"/>
      <c r="D66" s="15" t="s">
        <v>29</v>
      </c>
      <c r="E66" s="15" t="s">
        <v>510</v>
      </c>
      <c r="F66" s="17"/>
      <c r="G66" s="18"/>
      <c r="H66" s="17"/>
      <c r="I66" s="40">
        <v>14855286</v>
      </c>
      <c r="J66" s="78"/>
      <c r="L66" s="78"/>
    </row>
    <row r="67" spans="1:12" s="20" customFormat="1" ht="15.75" hidden="1">
      <c r="A67" s="14"/>
      <c r="B67" s="14"/>
      <c r="C67" s="14"/>
      <c r="D67" s="15"/>
      <c r="E67" s="22" t="s">
        <v>513</v>
      </c>
      <c r="F67" s="17"/>
      <c r="G67" s="18"/>
      <c r="H67" s="17"/>
      <c r="I67" s="19"/>
      <c r="J67" s="78"/>
      <c r="L67" s="78"/>
    </row>
    <row r="68" spans="1:12" s="20" customFormat="1" ht="15.75" hidden="1">
      <c r="A68" s="14"/>
      <c r="B68" s="14" t="s">
        <v>30</v>
      </c>
      <c r="C68" s="14"/>
      <c r="D68" s="15" t="s">
        <v>31</v>
      </c>
      <c r="E68" s="15" t="s">
        <v>510</v>
      </c>
      <c r="F68" s="17"/>
      <c r="G68" s="18"/>
      <c r="H68" s="17"/>
      <c r="I68" s="19">
        <v>559152</v>
      </c>
      <c r="J68" s="78"/>
      <c r="L68" s="78"/>
    </row>
    <row r="69" spans="1:12" s="20" customFormat="1" ht="15.75" hidden="1">
      <c r="A69" s="14"/>
      <c r="B69" s="14"/>
      <c r="C69" s="14"/>
      <c r="D69" s="15"/>
      <c r="E69" s="22" t="s">
        <v>513</v>
      </c>
      <c r="F69" s="17"/>
      <c r="G69" s="18"/>
      <c r="H69" s="17"/>
      <c r="I69" s="19"/>
      <c r="J69" s="78"/>
      <c r="L69" s="78"/>
    </row>
    <row r="70" spans="1:12" s="20" customFormat="1" ht="30.75" customHeight="1" hidden="1">
      <c r="A70" s="14"/>
      <c r="B70" s="14" t="s">
        <v>32</v>
      </c>
      <c r="C70" s="14"/>
      <c r="D70" s="15" t="s">
        <v>33</v>
      </c>
      <c r="E70" s="15" t="s">
        <v>510</v>
      </c>
      <c r="F70" s="17"/>
      <c r="G70" s="18"/>
      <c r="H70" s="17"/>
      <c r="I70" s="19">
        <v>4400</v>
      </c>
      <c r="J70" s="78"/>
      <c r="L70" s="78"/>
    </row>
    <row r="71" spans="1:12" s="20" customFormat="1" ht="15.75" hidden="1">
      <c r="A71" s="14"/>
      <c r="B71" s="14"/>
      <c r="C71" s="14"/>
      <c r="D71" s="15"/>
      <c r="E71" s="22" t="s">
        <v>513</v>
      </c>
      <c r="F71" s="17"/>
      <c r="G71" s="18"/>
      <c r="H71" s="17"/>
      <c r="I71" s="19"/>
      <c r="J71" s="78"/>
      <c r="L71" s="78"/>
    </row>
    <row r="72" spans="1:12" s="20" customFormat="1" ht="30.75" hidden="1">
      <c r="A72" s="14"/>
      <c r="B72" s="14" t="s">
        <v>306</v>
      </c>
      <c r="C72" s="14"/>
      <c r="D72" s="15" t="s">
        <v>307</v>
      </c>
      <c r="E72" s="15" t="s">
        <v>510</v>
      </c>
      <c r="F72" s="17"/>
      <c r="G72" s="18"/>
      <c r="H72" s="17"/>
      <c r="I72" s="19">
        <v>23400</v>
      </c>
      <c r="J72" s="78"/>
      <c r="L72" s="78"/>
    </row>
    <row r="73" spans="1:12" s="20" customFormat="1" ht="15.75" hidden="1">
      <c r="A73" s="14"/>
      <c r="B73" s="14"/>
      <c r="C73" s="14"/>
      <c r="D73" s="15"/>
      <c r="E73" s="22" t="s">
        <v>513</v>
      </c>
      <c r="F73" s="17"/>
      <c r="G73" s="18"/>
      <c r="H73" s="17"/>
      <c r="I73" s="19"/>
      <c r="J73" s="78"/>
      <c r="L73" s="78"/>
    </row>
    <row r="74" spans="1:12" s="20" customFormat="1" ht="30.75" hidden="1">
      <c r="A74" s="57"/>
      <c r="B74" s="57" t="s">
        <v>527</v>
      </c>
      <c r="C74" s="57"/>
      <c r="D74" s="15" t="s">
        <v>528</v>
      </c>
      <c r="E74" s="15" t="s">
        <v>510</v>
      </c>
      <c r="F74" s="17"/>
      <c r="G74" s="18"/>
      <c r="H74" s="17"/>
      <c r="I74" s="19">
        <v>1313208</v>
      </c>
      <c r="J74" s="78"/>
      <c r="L74" s="78"/>
    </row>
    <row r="75" spans="1:12" s="20" customFormat="1" ht="15.75" hidden="1">
      <c r="A75" s="14"/>
      <c r="B75" s="14"/>
      <c r="C75" s="14"/>
      <c r="D75" s="15"/>
      <c r="E75" s="22" t="s">
        <v>513</v>
      </c>
      <c r="F75" s="17"/>
      <c r="G75" s="18"/>
      <c r="H75" s="17"/>
      <c r="I75" s="19"/>
      <c r="J75" s="78"/>
      <c r="L75" s="78"/>
    </row>
    <row r="76" spans="1:12" s="20" customFormat="1" ht="15.75" hidden="1">
      <c r="A76" s="14"/>
      <c r="B76" s="14">
        <v>81002</v>
      </c>
      <c r="C76" s="14"/>
      <c r="D76" s="15" t="s">
        <v>533</v>
      </c>
      <c r="E76" s="15" t="s">
        <v>510</v>
      </c>
      <c r="F76" s="17"/>
      <c r="G76" s="18"/>
      <c r="H76" s="17"/>
      <c r="I76" s="19"/>
      <c r="J76" s="78"/>
      <c r="L76" s="78"/>
    </row>
    <row r="77" spans="1:12" s="20" customFormat="1" ht="60.75" hidden="1">
      <c r="A77" s="14"/>
      <c r="B77" s="14">
        <v>81003</v>
      </c>
      <c r="C77" s="14"/>
      <c r="D77" s="15" t="s">
        <v>23</v>
      </c>
      <c r="E77" s="15" t="s">
        <v>510</v>
      </c>
      <c r="F77" s="17"/>
      <c r="G77" s="18"/>
      <c r="H77" s="17"/>
      <c r="I77" s="19"/>
      <c r="J77" s="78"/>
      <c r="L77" s="78"/>
    </row>
    <row r="78" spans="1:12" s="20" customFormat="1" ht="60" customHeight="1" hidden="1">
      <c r="A78" s="54"/>
      <c r="B78" s="54">
        <v>150101</v>
      </c>
      <c r="C78" s="54"/>
      <c r="D78" s="22" t="s">
        <v>511</v>
      </c>
      <c r="E78" s="22" t="s">
        <v>34</v>
      </c>
      <c r="F78" s="19">
        <v>8930226</v>
      </c>
      <c r="G78" s="55">
        <f>100-(H78/F78*100)</f>
        <v>44.501807681015016</v>
      </c>
      <c r="H78" s="19">
        <v>4956114</v>
      </c>
      <c r="I78" s="19">
        <v>4956114</v>
      </c>
      <c r="J78" s="78"/>
      <c r="L78" s="78"/>
    </row>
    <row r="79" spans="1:12" s="20" customFormat="1" ht="15.75" hidden="1">
      <c r="A79" s="54"/>
      <c r="B79" s="54"/>
      <c r="C79" s="54"/>
      <c r="D79" s="22"/>
      <c r="E79" s="22" t="s">
        <v>513</v>
      </c>
      <c r="F79" s="19"/>
      <c r="G79" s="55"/>
      <c r="H79" s="19"/>
      <c r="I79" s="19"/>
      <c r="J79" s="78"/>
      <c r="L79" s="78"/>
    </row>
    <row r="80" spans="1:12" s="138" customFormat="1" ht="60.75" customHeight="1" hidden="1">
      <c r="A80" s="54"/>
      <c r="B80" s="54">
        <v>150101</v>
      </c>
      <c r="C80" s="54"/>
      <c r="D80" s="22" t="s">
        <v>511</v>
      </c>
      <c r="E80" s="22" t="s">
        <v>35</v>
      </c>
      <c r="F80" s="19">
        <v>8142051</v>
      </c>
      <c r="G80" s="55">
        <f>100-(H80/F80*100)</f>
        <v>92.79236890066151</v>
      </c>
      <c r="H80" s="19">
        <v>586849</v>
      </c>
      <c r="I80" s="19">
        <v>586849</v>
      </c>
      <c r="J80" s="137"/>
      <c r="L80" s="137"/>
    </row>
    <row r="81" spans="1:12" s="56" customFormat="1" ht="15.75" hidden="1">
      <c r="A81" s="54"/>
      <c r="B81" s="54"/>
      <c r="C81" s="54"/>
      <c r="D81" s="22"/>
      <c r="E81" s="22" t="s">
        <v>513</v>
      </c>
      <c r="F81" s="19"/>
      <c r="G81" s="55"/>
      <c r="H81" s="19"/>
      <c r="I81" s="19"/>
      <c r="J81" s="79"/>
      <c r="L81" s="79"/>
    </row>
    <row r="82" spans="1:12" s="56" customFormat="1" ht="64.5" customHeight="1" hidden="1">
      <c r="A82" s="54"/>
      <c r="B82" s="54">
        <v>150101</v>
      </c>
      <c r="C82" s="54"/>
      <c r="D82" s="22" t="s">
        <v>511</v>
      </c>
      <c r="E82" s="22" t="s">
        <v>4</v>
      </c>
      <c r="F82" s="19"/>
      <c r="G82" s="55"/>
      <c r="H82" s="19"/>
      <c r="I82" s="19"/>
      <c r="J82" s="79"/>
      <c r="L82" s="79"/>
    </row>
    <row r="83" spans="1:12" s="56" customFormat="1" ht="78" customHeight="1" hidden="1">
      <c r="A83" s="54"/>
      <c r="B83" s="54">
        <v>150101</v>
      </c>
      <c r="C83" s="54"/>
      <c r="D83" s="22" t="s">
        <v>511</v>
      </c>
      <c r="E83" s="91" t="s">
        <v>38</v>
      </c>
      <c r="F83" s="19">
        <v>27395310</v>
      </c>
      <c r="G83" s="55">
        <f>100-(H83/F83*100)</f>
        <v>3.659531503750088</v>
      </c>
      <c r="H83" s="19">
        <v>26392770</v>
      </c>
      <c r="I83" s="19">
        <v>2000000</v>
      </c>
      <c r="J83" s="79"/>
      <c r="L83" s="79"/>
    </row>
    <row r="84" spans="1:12" s="56" customFormat="1" ht="15.75" hidden="1">
      <c r="A84" s="54"/>
      <c r="B84" s="54"/>
      <c r="C84" s="54"/>
      <c r="D84" s="22"/>
      <c r="E84" s="22" t="s">
        <v>513</v>
      </c>
      <c r="F84" s="19"/>
      <c r="G84" s="55"/>
      <c r="H84" s="19"/>
      <c r="I84" s="19"/>
      <c r="J84" s="79"/>
      <c r="L84" s="79"/>
    </row>
    <row r="85" spans="1:12" s="56" customFormat="1" ht="60.75" hidden="1">
      <c r="A85" s="54"/>
      <c r="B85" s="54">
        <v>150101</v>
      </c>
      <c r="C85" s="54"/>
      <c r="D85" s="22" t="s">
        <v>511</v>
      </c>
      <c r="E85" s="22" t="s">
        <v>299</v>
      </c>
      <c r="F85" s="19">
        <v>3575299</v>
      </c>
      <c r="G85" s="55">
        <f>100-(H85/F85*100)</f>
        <v>43.04059604525384</v>
      </c>
      <c r="H85" s="19">
        <v>2036469</v>
      </c>
      <c r="I85" s="19">
        <v>1558862</v>
      </c>
      <c r="J85" s="79"/>
      <c r="L85" s="79"/>
    </row>
    <row r="86" spans="1:12" s="56" customFormat="1" ht="15.75" hidden="1">
      <c r="A86" s="54"/>
      <c r="B86" s="54"/>
      <c r="C86" s="54"/>
      <c r="D86" s="22"/>
      <c r="E86" s="22" t="s">
        <v>513</v>
      </c>
      <c r="F86" s="19"/>
      <c r="G86" s="55"/>
      <c r="H86" s="19"/>
      <c r="I86" s="19"/>
      <c r="J86" s="79"/>
      <c r="L86" s="79"/>
    </row>
    <row r="87" spans="1:12" s="56" customFormat="1" ht="45.75" hidden="1">
      <c r="A87" s="54"/>
      <c r="B87" s="54">
        <v>150101</v>
      </c>
      <c r="C87" s="54"/>
      <c r="D87" s="22" t="s">
        <v>511</v>
      </c>
      <c r="E87" s="22" t="s">
        <v>311</v>
      </c>
      <c r="F87" s="86">
        <v>5540750</v>
      </c>
      <c r="G87" s="139">
        <f>100-(H87/F87*100)</f>
        <v>89.19469385913459</v>
      </c>
      <c r="H87" s="86">
        <v>598695</v>
      </c>
      <c r="I87" s="86">
        <v>598695</v>
      </c>
      <c r="J87" s="79"/>
      <c r="L87" s="79"/>
    </row>
    <row r="88" spans="1:12" s="56" customFormat="1" ht="45.75" hidden="1">
      <c r="A88" s="54"/>
      <c r="B88" s="54">
        <v>150101</v>
      </c>
      <c r="C88" s="54"/>
      <c r="D88" s="22" t="s">
        <v>511</v>
      </c>
      <c r="E88" s="91" t="s">
        <v>315</v>
      </c>
      <c r="F88" s="19">
        <v>2351685</v>
      </c>
      <c r="G88" s="55">
        <f>100-(H88/F88*100)</f>
        <v>8.038619117781508</v>
      </c>
      <c r="H88" s="19">
        <v>2162642</v>
      </c>
      <c r="I88" s="86"/>
      <c r="J88" s="79"/>
      <c r="L88" s="79"/>
    </row>
    <row r="89" spans="1:12" s="56" customFormat="1" ht="45.75" hidden="1">
      <c r="A89" s="54"/>
      <c r="B89" s="54">
        <v>150101</v>
      </c>
      <c r="C89" s="54"/>
      <c r="D89" s="22" t="s">
        <v>511</v>
      </c>
      <c r="E89" s="91" t="s">
        <v>251</v>
      </c>
      <c r="F89" s="19">
        <v>2581403</v>
      </c>
      <c r="G89" s="55">
        <f>100-(H89/F89*100)</f>
        <v>8.202322535458421</v>
      </c>
      <c r="H89" s="19">
        <v>2369668</v>
      </c>
      <c r="I89" s="19">
        <v>20907</v>
      </c>
      <c r="J89" s="79"/>
      <c r="L89" s="79"/>
    </row>
    <row r="90" spans="1:12" s="56" customFormat="1" ht="15.75" hidden="1">
      <c r="A90" s="54"/>
      <c r="B90" s="54"/>
      <c r="C90" s="54"/>
      <c r="D90" s="22"/>
      <c r="E90" s="22" t="s">
        <v>513</v>
      </c>
      <c r="F90" s="19"/>
      <c r="G90" s="55"/>
      <c r="H90" s="19"/>
      <c r="I90" s="19"/>
      <c r="J90" s="79"/>
      <c r="L90" s="79"/>
    </row>
    <row r="91" spans="1:12" s="56" customFormat="1" ht="68.25" customHeight="1" hidden="1">
      <c r="A91" s="54"/>
      <c r="B91" s="54">
        <v>150101</v>
      </c>
      <c r="C91" s="54"/>
      <c r="D91" s="22" t="s">
        <v>511</v>
      </c>
      <c r="E91" s="22" t="s">
        <v>314</v>
      </c>
      <c r="F91" s="19">
        <v>1801032</v>
      </c>
      <c r="G91" s="55">
        <f>100-(H91/F91*100)</f>
        <v>8.126396421607168</v>
      </c>
      <c r="H91" s="19">
        <v>1654673</v>
      </c>
      <c r="I91" s="19">
        <v>1654673</v>
      </c>
      <c r="J91" s="79"/>
      <c r="L91" s="79"/>
    </row>
    <row r="92" spans="1:12" s="56" customFormat="1" ht="15.75" hidden="1">
      <c r="A92" s="54"/>
      <c r="B92" s="54"/>
      <c r="C92" s="54"/>
      <c r="D92" s="22"/>
      <c r="E92" s="22"/>
      <c r="F92" s="19"/>
      <c r="G92" s="55"/>
      <c r="H92" s="19"/>
      <c r="I92" s="19"/>
      <c r="J92" s="79"/>
      <c r="L92" s="79"/>
    </row>
    <row r="93" spans="1:12" s="56" customFormat="1" ht="15.75" hidden="1">
      <c r="A93" s="54"/>
      <c r="B93" s="54"/>
      <c r="C93" s="54"/>
      <c r="D93" s="22"/>
      <c r="E93" s="22"/>
      <c r="F93" s="19"/>
      <c r="G93" s="55"/>
      <c r="H93" s="19"/>
      <c r="I93" s="19"/>
      <c r="J93" s="79"/>
      <c r="L93" s="79"/>
    </row>
    <row r="94" spans="1:12" s="56" customFormat="1" ht="15.75" hidden="1">
      <c r="A94" s="54"/>
      <c r="B94" s="54"/>
      <c r="C94" s="54"/>
      <c r="D94" s="22"/>
      <c r="E94" s="22"/>
      <c r="F94" s="19"/>
      <c r="G94" s="55"/>
      <c r="H94" s="19"/>
      <c r="I94" s="19"/>
      <c r="J94" s="79"/>
      <c r="L94" s="79"/>
    </row>
    <row r="95" spans="1:12" s="56" customFormat="1" ht="15.75" hidden="1">
      <c r="A95" s="54"/>
      <c r="B95" s="54"/>
      <c r="C95" s="54"/>
      <c r="D95" s="22"/>
      <c r="E95" s="22"/>
      <c r="F95" s="19"/>
      <c r="G95" s="55"/>
      <c r="H95" s="19"/>
      <c r="I95" s="19"/>
      <c r="J95" s="79"/>
      <c r="L95" s="79"/>
    </row>
    <row r="96" spans="1:12" s="56" customFormat="1" ht="45.75" hidden="1">
      <c r="A96" s="54"/>
      <c r="B96" s="54">
        <v>150101</v>
      </c>
      <c r="C96" s="54"/>
      <c r="D96" s="22" t="s">
        <v>511</v>
      </c>
      <c r="E96" s="22" t="s">
        <v>300</v>
      </c>
      <c r="F96" s="19">
        <v>320647</v>
      </c>
      <c r="G96" s="55">
        <f>100-(H96/F96*100)</f>
        <v>77.8201573693189</v>
      </c>
      <c r="H96" s="19">
        <v>71119</v>
      </c>
      <c r="I96" s="19">
        <v>11910</v>
      </c>
      <c r="J96" s="79"/>
      <c r="L96" s="79"/>
    </row>
    <row r="97" spans="1:12" s="56" customFormat="1" ht="16.5" customHeight="1" hidden="1">
      <c r="A97" s="54"/>
      <c r="B97" s="54"/>
      <c r="C97" s="54"/>
      <c r="D97" s="22"/>
      <c r="E97" s="22" t="s">
        <v>513</v>
      </c>
      <c r="F97" s="19"/>
      <c r="G97" s="55"/>
      <c r="H97" s="19"/>
      <c r="I97" s="19"/>
      <c r="J97" s="79"/>
      <c r="L97" s="79"/>
    </row>
    <row r="98" spans="1:12" s="56" customFormat="1" ht="63.75" customHeight="1" hidden="1">
      <c r="A98" s="54"/>
      <c r="B98" s="54">
        <v>150101</v>
      </c>
      <c r="C98" s="54"/>
      <c r="D98" s="22" t="s">
        <v>511</v>
      </c>
      <c r="E98" s="91" t="s">
        <v>375</v>
      </c>
      <c r="F98" s="19">
        <v>157510</v>
      </c>
      <c r="G98" s="55">
        <f>100-(H98/F98*100)</f>
        <v>94.84223223922291</v>
      </c>
      <c r="H98" s="19">
        <v>8124</v>
      </c>
      <c r="I98" s="19">
        <v>8124</v>
      </c>
      <c r="J98" s="79"/>
      <c r="L98" s="79"/>
    </row>
    <row r="99" spans="1:12" s="56" customFormat="1" ht="18" customHeight="1" hidden="1">
      <c r="A99" s="54"/>
      <c r="B99" s="54"/>
      <c r="C99" s="54"/>
      <c r="D99" s="22"/>
      <c r="E99" s="22" t="s">
        <v>513</v>
      </c>
      <c r="F99" s="19"/>
      <c r="G99" s="55"/>
      <c r="H99" s="19"/>
      <c r="I99" s="19"/>
      <c r="J99" s="79"/>
      <c r="L99" s="79"/>
    </row>
    <row r="100" spans="1:12" s="56" customFormat="1" ht="45.75" hidden="1">
      <c r="A100" s="54"/>
      <c r="B100" s="54">
        <v>150101</v>
      </c>
      <c r="C100" s="54"/>
      <c r="D100" s="22" t="s">
        <v>511</v>
      </c>
      <c r="E100" s="91" t="s">
        <v>447</v>
      </c>
      <c r="F100" s="19">
        <v>1517885</v>
      </c>
      <c r="G100" s="55">
        <f>100-(H100/F100*100)</f>
        <v>11.06256402823665</v>
      </c>
      <c r="H100" s="19">
        <v>1349968</v>
      </c>
      <c r="I100" s="19">
        <v>1349968</v>
      </c>
      <c r="J100" s="79"/>
      <c r="L100" s="79"/>
    </row>
    <row r="101" spans="1:12" s="56" customFormat="1" ht="45.75" hidden="1">
      <c r="A101" s="54"/>
      <c r="B101" s="54">
        <v>150101</v>
      </c>
      <c r="C101" s="54"/>
      <c r="D101" s="22" t="s">
        <v>511</v>
      </c>
      <c r="E101" s="22" t="s">
        <v>15</v>
      </c>
      <c r="F101" s="19">
        <v>4431452</v>
      </c>
      <c r="G101" s="55">
        <f>100-(H101/F101*100)</f>
        <v>3.599790768353131</v>
      </c>
      <c r="H101" s="19">
        <v>4271929</v>
      </c>
      <c r="I101" s="19"/>
      <c r="J101" s="79"/>
      <c r="L101" s="79"/>
    </row>
    <row r="102" spans="1:12" s="56" customFormat="1" ht="60" customHeight="1" hidden="1">
      <c r="A102" s="54"/>
      <c r="B102" s="54">
        <v>150101</v>
      </c>
      <c r="C102" s="54"/>
      <c r="D102" s="22" t="s">
        <v>511</v>
      </c>
      <c r="E102" s="22" t="s">
        <v>6</v>
      </c>
      <c r="F102" s="19">
        <v>415206</v>
      </c>
      <c r="G102" s="55">
        <f>100-(H102/F102*100)</f>
        <v>85.10859669657953</v>
      </c>
      <c r="H102" s="19">
        <v>61830</v>
      </c>
      <c r="I102" s="19">
        <v>61830</v>
      </c>
      <c r="J102" s="79"/>
      <c r="L102" s="79"/>
    </row>
    <row r="103" spans="1:12" s="56" customFormat="1" ht="15.75" hidden="1">
      <c r="A103" s="54"/>
      <c r="B103" s="54"/>
      <c r="C103" s="54"/>
      <c r="D103" s="22"/>
      <c r="E103" s="22" t="s">
        <v>513</v>
      </c>
      <c r="F103" s="19"/>
      <c r="G103" s="55"/>
      <c r="H103" s="19"/>
      <c r="I103" s="19"/>
      <c r="J103" s="79"/>
      <c r="L103" s="79"/>
    </row>
    <row r="104" spans="1:12" s="56" customFormat="1" ht="45.75" hidden="1">
      <c r="A104" s="54"/>
      <c r="B104" s="54">
        <v>150101</v>
      </c>
      <c r="C104" s="54"/>
      <c r="D104" s="22" t="s">
        <v>511</v>
      </c>
      <c r="E104" s="22" t="s">
        <v>334</v>
      </c>
      <c r="F104" s="19">
        <v>2647748</v>
      </c>
      <c r="G104" s="55">
        <f>100-(H104/F104*100)</f>
        <v>59.07948943781659</v>
      </c>
      <c r="H104" s="19">
        <v>1083472</v>
      </c>
      <c r="I104" s="19">
        <v>1083472</v>
      </c>
      <c r="J104" s="79"/>
      <c r="L104" s="79"/>
    </row>
    <row r="105" spans="1:12" s="56" customFormat="1" ht="15.75" hidden="1">
      <c r="A105" s="54"/>
      <c r="B105" s="54"/>
      <c r="C105" s="54"/>
      <c r="D105" s="22"/>
      <c r="E105" s="22" t="s">
        <v>513</v>
      </c>
      <c r="F105" s="19"/>
      <c r="G105" s="55"/>
      <c r="H105" s="19"/>
      <c r="I105" s="19"/>
      <c r="J105" s="79"/>
      <c r="L105" s="79"/>
    </row>
    <row r="106" spans="1:12" s="56" customFormat="1" ht="60.75" hidden="1">
      <c r="A106" s="83"/>
      <c r="B106" s="83">
        <v>150101</v>
      </c>
      <c r="C106" s="83"/>
      <c r="D106" s="22" t="s">
        <v>511</v>
      </c>
      <c r="E106" s="22" t="s">
        <v>338</v>
      </c>
      <c r="F106" s="86">
        <v>950000</v>
      </c>
      <c r="G106" s="55">
        <f aca="true" t="shared" si="1" ref="G106:G112">100-(H106/F106*100)</f>
        <v>0</v>
      </c>
      <c r="H106" s="86">
        <v>950000</v>
      </c>
      <c r="I106" s="86">
        <v>950000</v>
      </c>
      <c r="J106" s="79"/>
      <c r="L106" s="79"/>
    </row>
    <row r="107" spans="1:12" s="56" customFormat="1" ht="57.75" customHeight="1" hidden="1">
      <c r="A107" s="83"/>
      <c r="B107" s="83">
        <v>150101</v>
      </c>
      <c r="C107" s="83"/>
      <c r="D107" s="22" t="s">
        <v>511</v>
      </c>
      <c r="E107" s="22" t="s">
        <v>341</v>
      </c>
      <c r="F107" s="19">
        <v>400000</v>
      </c>
      <c r="G107" s="55">
        <f t="shared" si="1"/>
        <v>37.0605</v>
      </c>
      <c r="H107" s="19">
        <v>251758</v>
      </c>
      <c r="I107" s="86">
        <v>10000</v>
      </c>
      <c r="J107" s="79"/>
      <c r="L107" s="79"/>
    </row>
    <row r="108" spans="1:12" s="56" customFormat="1" ht="45.75" hidden="1">
      <c r="A108" s="83"/>
      <c r="B108" s="83">
        <v>150101</v>
      </c>
      <c r="C108" s="83"/>
      <c r="D108" s="22" t="s">
        <v>511</v>
      </c>
      <c r="E108" s="91" t="s">
        <v>376</v>
      </c>
      <c r="F108" s="19">
        <v>563594</v>
      </c>
      <c r="G108" s="55">
        <f t="shared" si="1"/>
        <v>81.08478798567764</v>
      </c>
      <c r="H108" s="19">
        <v>106605</v>
      </c>
      <c r="I108" s="19">
        <v>106605</v>
      </c>
      <c r="J108" s="79"/>
      <c r="L108" s="79"/>
    </row>
    <row r="109" spans="1:12" s="56" customFormat="1" ht="60.75" hidden="1">
      <c r="A109" s="83"/>
      <c r="B109" s="83">
        <v>150101</v>
      </c>
      <c r="C109" s="83"/>
      <c r="D109" s="22" t="s">
        <v>511</v>
      </c>
      <c r="E109" s="91" t="s">
        <v>377</v>
      </c>
      <c r="F109" s="19">
        <v>235000</v>
      </c>
      <c r="G109" s="55">
        <f t="shared" si="1"/>
        <v>0</v>
      </c>
      <c r="H109" s="19">
        <v>235000</v>
      </c>
      <c r="I109" s="19">
        <v>235000</v>
      </c>
      <c r="J109" s="79"/>
      <c r="L109" s="79"/>
    </row>
    <row r="110" spans="1:12" s="56" customFormat="1" ht="45.75" hidden="1">
      <c r="A110" s="83"/>
      <c r="B110" s="83">
        <v>150101</v>
      </c>
      <c r="C110" s="83"/>
      <c r="D110" s="22" t="s">
        <v>511</v>
      </c>
      <c r="E110" s="91" t="s">
        <v>378</v>
      </c>
      <c r="F110" s="19">
        <v>3417000</v>
      </c>
      <c r="G110" s="55">
        <f t="shared" si="1"/>
        <v>5.179455662862168</v>
      </c>
      <c r="H110" s="19">
        <v>3240018</v>
      </c>
      <c r="I110" s="19">
        <v>2100000</v>
      </c>
      <c r="J110" s="79"/>
      <c r="L110" s="79"/>
    </row>
    <row r="111" spans="1:12" s="56" customFormat="1" ht="60.75" hidden="1">
      <c r="A111" s="83"/>
      <c r="B111" s="83">
        <v>150101</v>
      </c>
      <c r="C111" s="83"/>
      <c r="D111" s="22" t="s">
        <v>511</v>
      </c>
      <c r="E111" s="91" t="s">
        <v>379</v>
      </c>
      <c r="F111" s="19">
        <v>350000</v>
      </c>
      <c r="G111" s="55">
        <f t="shared" si="1"/>
        <v>0</v>
      </c>
      <c r="H111" s="19">
        <v>350000</v>
      </c>
      <c r="I111" s="19">
        <v>350000</v>
      </c>
      <c r="J111" s="79"/>
      <c r="L111" s="79"/>
    </row>
    <row r="112" spans="1:12" s="56" customFormat="1" ht="75.75" hidden="1">
      <c r="A112" s="83"/>
      <c r="B112" s="83">
        <v>150101</v>
      </c>
      <c r="C112" s="83"/>
      <c r="D112" s="22" t="s">
        <v>511</v>
      </c>
      <c r="E112" s="91" t="s">
        <v>380</v>
      </c>
      <c r="F112" s="19">
        <v>350000</v>
      </c>
      <c r="G112" s="55">
        <f t="shared" si="1"/>
        <v>0</v>
      </c>
      <c r="H112" s="19">
        <v>350000</v>
      </c>
      <c r="I112" s="19">
        <v>350000</v>
      </c>
      <c r="J112" s="79"/>
      <c r="L112" s="79"/>
    </row>
    <row r="113" spans="1:12" s="26" customFormat="1" ht="48" customHeight="1" hidden="1">
      <c r="A113" s="23"/>
      <c r="B113" s="23">
        <v>15</v>
      </c>
      <c r="C113" s="23"/>
      <c r="D113" s="24" t="s">
        <v>36</v>
      </c>
      <c r="E113" s="24"/>
      <c r="F113" s="25">
        <f>F114+F118+F120+F126+F116+F125+F123</f>
        <v>6274216</v>
      </c>
      <c r="G113" s="25"/>
      <c r="H113" s="25">
        <f>H114+H118+H120+H126+H116+H125+H123</f>
        <v>4240052</v>
      </c>
      <c r="I113" s="25">
        <f>I114+I118+I120+I126+I116+I125+I123</f>
        <v>6095653</v>
      </c>
      <c r="J113" s="75">
        <f>'[1]Місто'!$O$118-I113</f>
        <v>689018</v>
      </c>
      <c r="K113" s="34"/>
      <c r="L113" s="75"/>
    </row>
    <row r="114" spans="1:12" s="20" customFormat="1" ht="15.75" hidden="1">
      <c r="A114" s="14"/>
      <c r="B114" s="14" t="s">
        <v>508</v>
      </c>
      <c r="C114" s="14"/>
      <c r="D114" s="15" t="s">
        <v>509</v>
      </c>
      <c r="E114" s="15" t="s">
        <v>510</v>
      </c>
      <c r="F114" s="17"/>
      <c r="G114" s="18"/>
      <c r="H114" s="17"/>
      <c r="I114" s="40">
        <v>1261522</v>
      </c>
      <c r="J114" s="78"/>
      <c r="L114" s="78"/>
    </row>
    <row r="115" spans="1:12" s="20" customFormat="1" ht="15.75" hidden="1">
      <c r="A115" s="14"/>
      <c r="B115" s="14"/>
      <c r="C115" s="14"/>
      <c r="D115" s="15"/>
      <c r="E115" s="22" t="s">
        <v>513</v>
      </c>
      <c r="F115" s="17"/>
      <c r="G115" s="18"/>
      <c r="H115" s="17"/>
      <c r="I115" s="19"/>
      <c r="J115" s="78"/>
      <c r="L115" s="78"/>
    </row>
    <row r="116" spans="1:12" s="20" customFormat="1" ht="225.75" hidden="1">
      <c r="A116" s="14"/>
      <c r="B116" s="14" t="s">
        <v>531</v>
      </c>
      <c r="C116" s="14"/>
      <c r="D116" s="15" t="s">
        <v>532</v>
      </c>
      <c r="E116" s="15" t="s">
        <v>510</v>
      </c>
      <c r="F116" s="17"/>
      <c r="G116" s="18"/>
      <c r="H116" s="17"/>
      <c r="I116" s="19"/>
      <c r="J116" s="78"/>
      <c r="L116" s="78"/>
    </row>
    <row r="117" spans="1:12" s="20" customFormat="1" ht="156.75" hidden="1">
      <c r="A117" s="14"/>
      <c r="B117" s="14"/>
      <c r="C117" s="14"/>
      <c r="D117" s="84" t="s">
        <v>0</v>
      </c>
      <c r="E117" s="15"/>
      <c r="F117" s="17"/>
      <c r="G117" s="18"/>
      <c r="H117" s="17"/>
      <c r="I117" s="19"/>
      <c r="J117" s="78"/>
      <c r="L117" s="78"/>
    </row>
    <row r="118" spans="1:12" s="20" customFormat="1" ht="30.75" hidden="1">
      <c r="A118" s="37"/>
      <c r="B118" s="37" t="s">
        <v>521</v>
      </c>
      <c r="C118" s="37"/>
      <c r="D118" s="39" t="s">
        <v>522</v>
      </c>
      <c r="E118" s="15" t="s">
        <v>510</v>
      </c>
      <c r="F118" s="17"/>
      <c r="G118" s="18"/>
      <c r="H118" s="17"/>
      <c r="I118" s="19"/>
      <c r="J118" s="78"/>
      <c r="L118" s="78"/>
    </row>
    <row r="119" spans="1:12" s="20" customFormat="1" ht="15.75" hidden="1">
      <c r="A119" s="37"/>
      <c r="B119" s="37"/>
      <c r="C119" s="37"/>
      <c r="D119" s="39"/>
      <c r="E119" s="22" t="s">
        <v>513</v>
      </c>
      <c r="F119" s="17"/>
      <c r="G119" s="18"/>
      <c r="H119" s="17"/>
      <c r="I119" s="19"/>
      <c r="J119" s="78"/>
      <c r="L119" s="78"/>
    </row>
    <row r="120" spans="1:12" s="20" customFormat="1" ht="30.75" hidden="1">
      <c r="A120" s="58"/>
      <c r="B120" s="58" t="s">
        <v>219</v>
      </c>
      <c r="C120" s="58"/>
      <c r="D120" s="15" t="s">
        <v>220</v>
      </c>
      <c r="E120" s="15" t="s">
        <v>510</v>
      </c>
      <c r="F120" s="17"/>
      <c r="G120" s="18"/>
      <c r="H120" s="17"/>
      <c r="I120" s="19">
        <v>594079</v>
      </c>
      <c r="J120" s="78"/>
      <c r="L120" s="78"/>
    </row>
    <row r="121" spans="1:12" s="20" customFormat="1" ht="15.75" hidden="1">
      <c r="A121" s="14"/>
      <c r="B121" s="14"/>
      <c r="C121" s="14"/>
      <c r="D121" s="15"/>
      <c r="E121" s="22" t="s">
        <v>513</v>
      </c>
      <c r="F121" s="17"/>
      <c r="G121" s="18"/>
      <c r="H121" s="17"/>
      <c r="I121" s="19"/>
      <c r="J121" s="78"/>
      <c r="L121" s="78"/>
    </row>
    <row r="122" spans="1:12" s="20" customFormat="1" ht="60.75" hidden="1">
      <c r="A122" s="14"/>
      <c r="B122" s="14">
        <v>150101</v>
      </c>
      <c r="C122" s="14"/>
      <c r="D122" s="15" t="s">
        <v>511</v>
      </c>
      <c r="E122" s="15" t="s">
        <v>221</v>
      </c>
      <c r="F122" s="17"/>
      <c r="G122" s="18"/>
      <c r="H122" s="17"/>
      <c r="I122" s="19"/>
      <c r="J122" s="78"/>
      <c r="L122" s="78"/>
    </row>
    <row r="123" spans="1:12" s="20" customFormat="1" ht="30.75" hidden="1">
      <c r="A123" s="58"/>
      <c r="B123" s="58" t="s">
        <v>215</v>
      </c>
      <c r="C123" s="58"/>
      <c r="D123" s="15" t="s">
        <v>216</v>
      </c>
      <c r="E123" s="15" t="s">
        <v>510</v>
      </c>
      <c r="F123" s="17"/>
      <c r="G123" s="18"/>
      <c r="H123" s="17"/>
      <c r="I123" s="19"/>
      <c r="J123" s="78"/>
      <c r="L123" s="78"/>
    </row>
    <row r="124" spans="1:12" s="20" customFormat="1" ht="15.75" hidden="1">
      <c r="A124" s="14"/>
      <c r="B124" s="14"/>
      <c r="C124" s="14"/>
      <c r="D124" s="15"/>
      <c r="E124" s="22" t="s">
        <v>513</v>
      </c>
      <c r="F124" s="17"/>
      <c r="G124" s="18"/>
      <c r="H124" s="17"/>
      <c r="I124" s="19"/>
      <c r="J124" s="78"/>
      <c r="L124" s="78"/>
    </row>
    <row r="125" spans="1:12" s="20" customFormat="1" ht="45.75" hidden="1">
      <c r="A125" s="14"/>
      <c r="B125" s="14">
        <v>150101</v>
      </c>
      <c r="C125" s="14"/>
      <c r="D125" s="15" t="s">
        <v>511</v>
      </c>
      <c r="E125" s="15" t="s">
        <v>381</v>
      </c>
      <c r="F125" s="17">
        <v>300000</v>
      </c>
      <c r="G125" s="18">
        <f>100-(H125/F125*100)</f>
        <v>0</v>
      </c>
      <c r="H125" s="17">
        <v>300000</v>
      </c>
      <c r="I125" s="17">
        <v>300000</v>
      </c>
      <c r="J125" s="78"/>
      <c r="L125" s="78"/>
    </row>
    <row r="126" spans="1:12" s="20" customFormat="1" ht="30.75" hidden="1">
      <c r="A126" s="14"/>
      <c r="B126" s="14">
        <v>150101</v>
      </c>
      <c r="C126" s="14"/>
      <c r="D126" s="15" t="s">
        <v>511</v>
      </c>
      <c r="E126" s="15" t="s">
        <v>222</v>
      </c>
      <c r="F126" s="17">
        <v>5974216</v>
      </c>
      <c r="G126" s="18">
        <f>100-(H126/F126*100)</f>
        <v>34.049053465760196</v>
      </c>
      <c r="H126" s="19">
        <v>3940052</v>
      </c>
      <c r="I126" s="19">
        <v>3940052</v>
      </c>
      <c r="J126" s="78"/>
      <c r="L126" s="78"/>
    </row>
    <row r="127" spans="1:12" s="20" customFormat="1" ht="15.75" hidden="1">
      <c r="A127" s="14"/>
      <c r="B127" s="14"/>
      <c r="C127" s="14"/>
      <c r="D127" s="15"/>
      <c r="E127" s="22" t="s">
        <v>513</v>
      </c>
      <c r="F127" s="17"/>
      <c r="G127" s="18"/>
      <c r="H127" s="17"/>
      <c r="I127" s="19"/>
      <c r="J127" s="78"/>
      <c r="L127" s="78"/>
    </row>
    <row r="128" spans="1:12" s="26" customFormat="1" ht="47.25" hidden="1">
      <c r="A128" s="23"/>
      <c r="B128" s="23">
        <v>23</v>
      </c>
      <c r="C128" s="23"/>
      <c r="D128" s="24" t="s">
        <v>223</v>
      </c>
      <c r="E128" s="24"/>
      <c r="F128" s="25"/>
      <c r="G128" s="27"/>
      <c r="H128" s="25"/>
      <c r="I128" s="25">
        <f>I129</f>
        <v>0</v>
      </c>
      <c r="J128" s="75"/>
      <c r="L128" s="77"/>
    </row>
    <row r="129" spans="1:12" s="20" customFormat="1" ht="15.75" hidden="1">
      <c r="A129" s="14"/>
      <c r="B129" s="14" t="s">
        <v>508</v>
      </c>
      <c r="C129" s="14"/>
      <c r="D129" s="15" t="s">
        <v>509</v>
      </c>
      <c r="E129" s="15" t="s">
        <v>510</v>
      </c>
      <c r="F129" s="17"/>
      <c r="G129" s="18"/>
      <c r="H129" s="17"/>
      <c r="I129" s="19"/>
      <c r="J129" s="78"/>
      <c r="L129" s="78"/>
    </row>
    <row r="130" spans="1:12" s="26" customFormat="1" ht="31.5" hidden="1">
      <c r="A130" s="23"/>
      <c r="B130" s="23">
        <v>24</v>
      </c>
      <c r="C130" s="23"/>
      <c r="D130" s="24" t="s">
        <v>224</v>
      </c>
      <c r="E130" s="24"/>
      <c r="F130" s="25">
        <f>SUM(F131:F141)-F132-F134-F136-F138-F140</f>
        <v>157847</v>
      </c>
      <c r="G130" s="27"/>
      <c r="H130" s="25">
        <f>SUM(H131:H141)-H132-H134-H136-H138-H140</f>
        <v>157847</v>
      </c>
      <c r="I130" s="25">
        <f>SUM(I131:I141)-I132-I134-I136-I138-I140</f>
        <v>2107955</v>
      </c>
      <c r="J130" s="75">
        <f>'[1]Місто'!$O$218-I130</f>
        <v>1835536</v>
      </c>
      <c r="K130" s="34"/>
      <c r="L130" s="75"/>
    </row>
    <row r="131" spans="1:12" s="20" customFormat="1" ht="15.75" hidden="1">
      <c r="A131" s="14"/>
      <c r="B131" s="14" t="s">
        <v>225</v>
      </c>
      <c r="C131" s="14"/>
      <c r="D131" s="15" t="s">
        <v>226</v>
      </c>
      <c r="E131" s="15" t="s">
        <v>510</v>
      </c>
      <c r="F131" s="17"/>
      <c r="G131" s="18"/>
      <c r="H131" s="17"/>
      <c r="I131" s="19">
        <v>75227</v>
      </c>
      <c r="J131" s="78"/>
      <c r="L131" s="78"/>
    </row>
    <row r="132" spans="1:12" s="20" customFormat="1" ht="15.75" hidden="1">
      <c r="A132" s="14"/>
      <c r="B132" s="14"/>
      <c r="C132" s="14"/>
      <c r="D132" s="15"/>
      <c r="E132" s="22" t="s">
        <v>513</v>
      </c>
      <c r="F132" s="17"/>
      <c r="G132" s="18"/>
      <c r="H132" s="17"/>
      <c r="I132" s="19"/>
      <c r="J132" s="78"/>
      <c r="L132" s="78"/>
    </row>
    <row r="133" spans="1:12" s="20" customFormat="1" ht="15.75" hidden="1">
      <c r="A133" s="14"/>
      <c r="B133" s="14" t="s">
        <v>227</v>
      </c>
      <c r="C133" s="14"/>
      <c r="D133" s="15" t="s">
        <v>228</v>
      </c>
      <c r="E133" s="15" t="s">
        <v>301</v>
      </c>
      <c r="F133" s="17"/>
      <c r="G133" s="18"/>
      <c r="H133" s="17"/>
      <c r="I133" s="19">
        <v>756243</v>
      </c>
      <c r="J133" s="78"/>
      <c r="L133" s="78"/>
    </row>
    <row r="134" spans="1:12" s="20" customFormat="1" ht="15.75" hidden="1">
      <c r="A134" s="14"/>
      <c r="B134" s="14"/>
      <c r="C134" s="14"/>
      <c r="D134" s="15"/>
      <c r="E134" s="22" t="s">
        <v>513</v>
      </c>
      <c r="F134" s="17"/>
      <c r="G134" s="18"/>
      <c r="H134" s="17"/>
      <c r="I134" s="19"/>
      <c r="J134" s="78"/>
      <c r="L134" s="78"/>
    </row>
    <row r="135" spans="1:12" s="20" customFormat="1" ht="30.75" hidden="1">
      <c r="A135" s="14"/>
      <c r="B135" s="14" t="s">
        <v>229</v>
      </c>
      <c r="C135" s="14"/>
      <c r="D135" s="15" t="s">
        <v>230</v>
      </c>
      <c r="E135" s="15" t="s">
        <v>301</v>
      </c>
      <c r="F135" s="17"/>
      <c r="G135" s="18"/>
      <c r="H135" s="17"/>
      <c r="I135" s="19">
        <v>724013</v>
      </c>
      <c r="J135" s="78"/>
      <c r="L135" s="78"/>
    </row>
    <row r="136" spans="1:12" s="20" customFormat="1" ht="15.75" hidden="1">
      <c r="A136" s="14"/>
      <c r="B136" s="14"/>
      <c r="C136" s="14"/>
      <c r="D136" s="15"/>
      <c r="E136" s="22" t="s">
        <v>513</v>
      </c>
      <c r="F136" s="17"/>
      <c r="G136" s="18"/>
      <c r="H136" s="17"/>
      <c r="I136" s="19"/>
      <c r="J136" s="78"/>
      <c r="L136" s="78"/>
    </row>
    <row r="137" spans="1:12" s="20" customFormat="1" ht="15.75" hidden="1">
      <c r="A137" s="14"/>
      <c r="B137" s="14" t="s">
        <v>231</v>
      </c>
      <c r="C137" s="14"/>
      <c r="D137" s="15" t="s">
        <v>232</v>
      </c>
      <c r="E137" s="15" t="s">
        <v>510</v>
      </c>
      <c r="F137" s="17"/>
      <c r="G137" s="18"/>
      <c r="H137" s="17"/>
      <c r="I137" s="19">
        <v>343625</v>
      </c>
      <c r="J137" s="78"/>
      <c r="L137" s="78"/>
    </row>
    <row r="138" spans="1:12" s="20" customFormat="1" ht="15.75" hidden="1">
      <c r="A138" s="14"/>
      <c r="B138" s="14"/>
      <c r="C138" s="14"/>
      <c r="D138" s="15"/>
      <c r="E138" s="22" t="s">
        <v>513</v>
      </c>
      <c r="F138" s="17"/>
      <c r="G138" s="18"/>
      <c r="H138" s="17"/>
      <c r="I138" s="19"/>
      <c r="J138" s="78"/>
      <c r="L138" s="78"/>
    </row>
    <row r="139" spans="1:12" s="20" customFormat="1" ht="15.75" hidden="1">
      <c r="A139" s="14"/>
      <c r="B139" s="14" t="s">
        <v>233</v>
      </c>
      <c r="C139" s="14"/>
      <c r="D139" s="15" t="s">
        <v>234</v>
      </c>
      <c r="E139" s="15" t="s">
        <v>510</v>
      </c>
      <c r="F139" s="17"/>
      <c r="G139" s="18"/>
      <c r="H139" s="17"/>
      <c r="I139" s="19">
        <v>51000</v>
      </c>
      <c r="J139" s="78"/>
      <c r="L139" s="78"/>
    </row>
    <row r="140" spans="1:12" s="20" customFormat="1" ht="15.75" hidden="1">
      <c r="A140" s="14"/>
      <c r="B140" s="14"/>
      <c r="C140" s="14"/>
      <c r="D140" s="15"/>
      <c r="E140" s="22" t="s">
        <v>513</v>
      </c>
      <c r="F140" s="17"/>
      <c r="G140" s="18"/>
      <c r="H140" s="17"/>
      <c r="I140" s="19"/>
      <c r="J140" s="78"/>
      <c r="L140" s="78"/>
    </row>
    <row r="141" spans="1:12" s="20" customFormat="1" ht="60.75" hidden="1">
      <c r="A141" s="14"/>
      <c r="B141" s="14">
        <v>150101</v>
      </c>
      <c r="C141" s="14"/>
      <c r="D141" s="15" t="s">
        <v>511</v>
      </c>
      <c r="E141" s="15" t="s">
        <v>382</v>
      </c>
      <c r="F141" s="17">
        <v>157847</v>
      </c>
      <c r="G141" s="18">
        <f>100-(H141/F141*100)</f>
        <v>0</v>
      </c>
      <c r="H141" s="17">
        <v>157847</v>
      </c>
      <c r="I141" s="17">
        <v>157847</v>
      </c>
      <c r="J141" s="78"/>
      <c r="L141" s="78"/>
    </row>
    <row r="142" spans="1:12" s="20" customFormat="1" ht="15.75" hidden="1">
      <c r="A142" s="14"/>
      <c r="B142" s="14"/>
      <c r="C142" s="14"/>
      <c r="D142" s="15"/>
      <c r="E142" s="22" t="s">
        <v>513</v>
      </c>
      <c r="F142" s="17"/>
      <c r="G142" s="18"/>
      <c r="H142" s="17"/>
      <c r="I142" s="19"/>
      <c r="J142" s="78"/>
      <c r="L142" s="78"/>
    </row>
    <row r="143" spans="1:12" s="20" customFormat="1" ht="31.5" hidden="1">
      <c r="A143" s="23"/>
      <c r="B143" s="23">
        <v>26</v>
      </c>
      <c r="C143" s="23"/>
      <c r="D143" s="24" t="s">
        <v>316</v>
      </c>
      <c r="E143" s="24"/>
      <c r="F143" s="25">
        <f>SUM(F144)</f>
        <v>0</v>
      </c>
      <c r="G143" s="25"/>
      <c r="H143" s="25">
        <f>SUM(H144)</f>
        <v>0</v>
      </c>
      <c r="I143" s="25">
        <f>SUM(I144)</f>
        <v>0</v>
      </c>
      <c r="J143" s="78"/>
      <c r="L143" s="78"/>
    </row>
    <row r="144" spans="1:12" s="20" customFormat="1" ht="15.75" hidden="1">
      <c r="A144" s="14"/>
      <c r="B144" s="14" t="s">
        <v>508</v>
      </c>
      <c r="C144" s="14"/>
      <c r="D144" s="15" t="s">
        <v>509</v>
      </c>
      <c r="E144" s="15" t="s">
        <v>510</v>
      </c>
      <c r="F144" s="17"/>
      <c r="G144" s="18"/>
      <c r="H144" s="17"/>
      <c r="I144" s="19"/>
      <c r="J144" s="78"/>
      <c r="L144" s="78"/>
    </row>
    <row r="145" spans="1:12" s="26" customFormat="1" ht="42" customHeight="1" hidden="1">
      <c r="A145" s="23"/>
      <c r="B145" s="23" t="s">
        <v>235</v>
      </c>
      <c r="C145" s="23"/>
      <c r="D145" s="24" t="s">
        <v>236</v>
      </c>
      <c r="E145" s="24"/>
      <c r="F145" s="25">
        <f>SUM(F146:F147)</f>
        <v>1071200</v>
      </c>
      <c r="G145" s="25"/>
      <c r="H145" s="25">
        <f>SUM(H146:H147)</f>
        <v>666110</v>
      </c>
      <c r="I145" s="25">
        <f>SUM(I146:I147)</f>
        <v>305245</v>
      </c>
      <c r="J145" s="75">
        <f>'[1]Місто'!$O$240-I145</f>
        <v>956307</v>
      </c>
      <c r="K145" s="34"/>
      <c r="L145" s="75"/>
    </row>
    <row r="146" spans="1:12" s="20" customFormat="1" ht="15.75" hidden="1">
      <c r="A146" s="14"/>
      <c r="B146" s="14" t="s">
        <v>508</v>
      </c>
      <c r="C146" s="14"/>
      <c r="D146" s="15" t="s">
        <v>509</v>
      </c>
      <c r="E146" s="15" t="s">
        <v>510</v>
      </c>
      <c r="F146" s="17"/>
      <c r="G146" s="18"/>
      <c r="H146" s="17"/>
      <c r="I146" s="19"/>
      <c r="J146" s="78"/>
      <c r="L146" s="78"/>
    </row>
    <row r="147" spans="1:12" s="20" customFormat="1" ht="45.75" hidden="1">
      <c r="A147" s="14"/>
      <c r="B147" s="14">
        <v>150101</v>
      </c>
      <c r="C147" s="14"/>
      <c r="D147" s="15" t="s">
        <v>511</v>
      </c>
      <c r="E147" s="15" t="s">
        <v>275</v>
      </c>
      <c r="F147" s="17">
        <v>1071200</v>
      </c>
      <c r="G147" s="18">
        <f>100-(H147/F147*100)</f>
        <v>37.816467513069455</v>
      </c>
      <c r="H147" s="17">
        <v>666110</v>
      </c>
      <c r="I147" s="19">
        <v>305245</v>
      </c>
      <c r="J147" s="78"/>
      <c r="L147" s="78"/>
    </row>
    <row r="148" spans="1:12" s="20" customFormat="1" ht="15.75" hidden="1">
      <c r="A148" s="14"/>
      <c r="B148" s="14"/>
      <c r="C148" s="14"/>
      <c r="D148" s="15"/>
      <c r="E148" s="22" t="s">
        <v>513</v>
      </c>
      <c r="F148" s="17"/>
      <c r="G148" s="18"/>
      <c r="H148" s="17"/>
      <c r="I148" s="19"/>
      <c r="J148" s="78"/>
      <c r="L148" s="78"/>
    </row>
    <row r="149" spans="1:12" s="26" customFormat="1" ht="38.25" customHeight="1" hidden="1">
      <c r="A149" s="23"/>
      <c r="B149" s="23" t="s">
        <v>237</v>
      </c>
      <c r="C149" s="23"/>
      <c r="D149" s="24" t="s">
        <v>238</v>
      </c>
      <c r="E149" s="24"/>
      <c r="F149" s="25"/>
      <c r="G149" s="27"/>
      <c r="H149" s="25"/>
      <c r="I149" s="25">
        <f>I150</f>
        <v>0</v>
      </c>
      <c r="J149" s="77"/>
      <c r="L149" s="77"/>
    </row>
    <row r="150" spans="1:12" s="20" customFormat="1" ht="35.25" customHeight="1" hidden="1">
      <c r="A150" s="14"/>
      <c r="B150" s="14" t="s">
        <v>508</v>
      </c>
      <c r="C150" s="14"/>
      <c r="D150" s="15" t="s">
        <v>509</v>
      </c>
      <c r="E150" s="15" t="s">
        <v>297</v>
      </c>
      <c r="F150" s="17"/>
      <c r="G150" s="18"/>
      <c r="H150" s="17"/>
      <c r="I150" s="19"/>
      <c r="J150" s="78"/>
      <c r="L150" s="78"/>
    </row>
    <row r="151" spans="1:12" s="26" customFormat="1" ht="39" customHeight="1">
      <c r="A151" s="23"/>
      <c r="B151" s="23">
        <v>40</v>
      </c>
      <c r="C151" s="23"/>
      <c r="D151" s="24" t="s">
        <v>239</v>
      </c>
      <c r="E151" s="24"/>
      <c r="F151" s="25"/>
      <c r="G151" s="25"/>
      <c r="H151" s="25"/>
      <c r="I151" s="25">
        <f>I309</f>
        <v>29210456</v>
      </c>
      <c r="J151" s="75">
        <f>'[1]Місто'!$O$253-I151</f>
        <v>372599352</v>
      </c>
      <c r="K151" s="34"/>
      <c r="L151" s="75"/>
    </row>
    <row r="152" spans="1:12" s="26" customFormat="1" ht="15.75" hidden="1">
      <c r="A152" s="14"/>
      <c r="B152" s="14" t="s">
        <v>508</v>
      </c>
      <c r="C152" s="14"/>
      <c r="D152" s="22" t="s">
        <v>509</v>
      </c>
      <c r="E152" s="15" t="s">
        <v>510</v>
      </c>
      <c r="F152" s="19"/>
      <c r="G152" s="19"/>
      <c r="H152" s="19"/>
      <c r="I152" s="19"/>
      <c r="J152" s="77"/>
      <c r="L152" s="77"/>
    </row>
    <row r="153" spans="1:12" s="20" customFormat="1" ht="30.75" hidden="1">
      <c r="A153" s="14"/>
      <c r="B153" s="14" t="s">
        <v>240</v>
      </c>
      <c r="C153" s="14"/>
      <c r="D153" s="15" t="s">
        <v>241</v>
      </c>
      <c r="E153" s="15" t="s">
        <v>510</v>
      </c>
      <c r="F153" s="17"/>
      <c r="G153" s="18"/>
      <c r="H153" s="17"/>
      <c r="I153" s="19">
        <f>'[1]Місто'!$O$268</f>
        <v>224991173</v>
      </c>
      <c r="J153" s="78"/>
      <c r="L153" s="78"/>
    </row>
    <row r="154" spans="1:12" s="20" customFormat="1" ht="15.75" hidden="1">
      <c r="A154" s="14"/>
      <c r="B154" s="14"/>
      <c r="C154" s="14"/>
      <c r="D154" s="15"/>
      <c r="E154" s="22" t="s">
        <v>513</v>
      </c>
      <c r="F154" s="17"/>
      <c r="G154" s="18"/>
      <c r="H154" s="17"/>
      <c r="I154" s="19"/>
      <c r="J154" s="78"/>
      <c r="L154" s="78"/>
    </row>
    <row r="155" spans="1:12" s="20" customFormat="1" ht="30.75" hidden="1">
      <c r="A155" s="14"/>
      <c r="B155" s="14" t="s">
        <v>217</v>
      </c>
      <c r="C155" s="14"/>
      <c r="D155" s="15" t="s">
        <v>218</v>
      </c>
      <c r="E155" s="15" t="s">
        <v>510</v>
      </c>
      <c r="F155" s="17"/>
      <c r="G155" s="18"/>
      <c r="H155" s="17"/>
      <c r="I155" s="19">
        <f>2012758-7169</f>
        <v>2005589</v>
      </c>
      <c r="J155" s="78"/>
      <c r="L155" s="78"/>
    </row>
    <row r="156" spans="1:12" s="20" customFormat="1" ht="15.75" hidden="1">
      <c r="A156" s="14"/>
      <c r="B156" s="14"/>
      <c r="C156" s="14"/>
      <c r="D156" s="15"/>
      <c r="E156" s="22" t="s">
        <v>513</v>
      </c>
      <c r="F156" s="17"/>
      <c r="G156" s="18"/>
      <c r="H156" s="17"/>
      <c r="I156" s="19"/>
      <c r="J156" s="78"/>
      <c r="L156" s="78"/>
    </row>
    <row r="157" spans="1:12" s="20" customFormat="1" ht="18.75" customHeight="1" hidden="1">
      <c r="A157" s="14"/>
      <c r="B157" s="14">
        <v>100203</v>
      </c>
      <c r="C157" s="14"/>
      <c r="D157" s="15" t="s">
        <v>242</v>
      </c>
      <c r="E157" s="15" t="s">
        <v>510</v>
      </c>
      <c r="F157" s="17"/>
      <c r="G157" s="18"/>
      <c r="H157" s="17"/>
      <c r="I157" s="19">
        <v>1940965</v>
      </c>
      <c r="J157" s="78"/>
      <c r="L157" s="78"/>
    </row>
    <row r="158" spans="1:12" s="20" customFormat="1" ht="15.75" hidden="1">
      <c r="A158" s="14"/>
      <c r="B158" s="14"/>
      <c r="C158" s="14"/>
      <c r="D158" s="15"/>
      <c r="E158" s="22" t="s">
        <v>513</v>
      </c>
      <c r="F158" s="17"/>
      <c r="G158" s="18"/>
      <c r="H158" s="17"/>
      <c r="I158" s="19"/>
      <c r="J158" s="78"/>
      <c r="L158" s="78"/>
    </row>
    <row r="159" spans="1:12" s="20" customFormat="1" ht="15.75" hidden="1">
      <c r="A159" s="14"/>
      <c r="B159" s="14">
        <v>100209</v>
      </c>
      <c r="C159" s="14"/>
      <c r="D159" s="15" t="s">
        <v>3</v>
      </c>
      <c r="E159" s="15" t="s">
        <v>510</v>
      </c>
      <c r="F159" s="17"/>
      <c r="G159" s="18"/>
      <c r="H159" s="17"/>
      <c r="I159" s="19"/>
      <c r="J159" s="78"/>
      <c r="L159" s="78"/>
    </row>
    <row r="160" spans="1:12" s="20" customFormat="1" ht="21" customHeight="1" hidden="1">
      <c r="A160" s="14"/>
      <c r="B160" s="14">
        <v>250404</v>
      </c>
      <c r="C160" s="14"/>
      <c r="D160" s="15" t="s">
        <v>244</v>
      </c>
      <c r="E160" s="15" t="s">
        <v>510</v>
      </c>
      <c r="F160" s="17"/>
      <c r="G160" s="18"/>
      <c r="H160" s="17"/>
      <c r="I160" s="19">
        <v>481398</v>
      </c>
      <c r="J160" s="78"/>
      <c r="L160" s="78"/>
    </row>
    <row r="161" spans="1:12" s="20" customFormat="1" ht="15.75" hidden="1">
      <c r="A161" s="14"/>
      <c r="B161" s="14"/>
      <c r="C161" s="14"/>
      <c r="D161" s="15"/>
      <c r="E161" s="22" t="s">
        <v>513</v>
      </c>
      <c r="F161" s="17"/>
      <c r="G161" s="18"/>
      <c r="H161" s="17"/>
      <c r="I161" s="19"/>
      <c r="J161" s="78"/>
      <c r="L161" s="78"/>
    </row>
    <row r="162" spans="1:12" s="20" customFormat="1" ht="15.75" hidden="1">
      <c r="A162" s="14"/>
      <c r="B162" s="14"/>
      <c r="C162" s="14"/>
      <c r="D162" s="15"/>
      <c r="E162" s="15"/>
      <c r="F162" s="17"/>
      <c r="G162" s="18"/>
      <c r="H162" s="17"/>
      <c r="I162" s="19"/>
      <c r="J162" s="78"/>
      <c r="L162" s="78"/>
    </row>
    <row r="163" spans="1:12" s="56" customFormat="1" ht="30.75" hidden="1">
      <c r="A163" s="54"/>
      <c r="B163" s="54">
        <v>150101</v>
      </c>
      <c r="C163" s="54"/>
      <c r="D163" s="22" t="s">
        <v>511</v>
      </c>
      <c r="E163" s="22" t="s">
        <v>246</v>
      </c>
      <c r="F163" s="19">
        <v>706344</v>
      </c>
      <c r="G163" s="18">
        <f>100-(H163/F163*100)</f>
        <v>28.57035665341533</v>
      </c>
      <c r="H163" s="19">
        <v>504539</v>
      </c>
      <c r="I163" s="19"/>
      <c r="J163" s="80"/>
      <c r="L163" s="79"/>
    </row>
    <row r="164" spans="1:12" s="56" customFormat="1" ht="18" customHeight="1" hidden="1">
      <c r="A164" s="54"/>
      <c r="B164" s="54"/>
      <c r="C164" s="54"/>
      <c r="D164" s="22"/>
      <c r="E164" s="22" t="s">
        <v>513</v>
      </c>
      <c r="F164" s="19"/>
      <c r="G164" s="18"/>
      <c r="H164" s="19"/>
      <c r="I164" s="19"/>
      <c r="J164" s="79"/>
      <c r="L164" s="79"/>
    </row>
    <row r="165" spans="1:12" s="56" customFormat="1" ht="60.75" hidden="1">
      <c r="A165" s="14"/>
      <c r="B165" s="14">
        <v>150101</v>
      </c>
      <c r="C165" s="14"/>
      <c r="D165" s="15" t="s">
        <v>511</v>
      </c>
      <c r="E165" s="22" t="s">
        <v>302</v>
      </c>
      <c r="F165" s="19">
        <v>1512000</v>
      </c>
      <c r="G165" s="18">
        <f>100-(H165/F165*100)</f>
        <v>45.88862433862434</v>
      </c>
      <c r="H165" s="19">
        <v>818164</v>
      </c>
      <c r="I165" s="19"/>
      <c r="J165" s="79"/>
      <c r="L165" s="79"/>
    </row>
    <row r="166" spans="1:12" s="56" customFormat="1" ht="15.75" hidden="1">
      <c r="A166" s="14"/>
      <c r="B166" s="14"/>
      <c r="C166" s="14"/>
      <c r="D166" s="15"/>
      <c r="E166" s="22" t="s">
        <v>513</v>
      </c>
      <c r="F166" s="19"/>
      <c r="G166" s="55"/>
      <c r="H166" s="19"/>
      <c r="I166" s="19"/>
      <c r="J166" s="79"/>
      <c r="L166" s="79"/>
    </row>
    <row r="167" spans="1:12" s="56" customFormat="1" ht="30.75" hidden="1">
      <c r="A167" s="14"/>
      <c r="B167" s="14">
        <v>150101</v>
      </c>
      <c r="C167" s="14"/>
      <c r="D167" s="15" t="s">
        <v>511</v>
      </c>
      <c r="E167" s="22" t="s">
        <v>404</v>
      </c>
      <c r="F167" s="86">
        <v>1471483</v>
      </c>
      <c r="G167" s="87">
        <f aca="true" t="shared" si="2" ref="G167:G173">100-(H167/F167*100)</f>
        <v>5.762349955792899</v>
      </c>
      <c r="H167" s="86">
        <v>1386691</v>
      </c>
      <c r="I167" s="86">
        <v>1386691</v>
      </c>
      <c r="J167" s="79"/>
      <c r="L167" s="79"/>
    </row>
    <row r="168" spans="1:12" s="56" customFormat="1" ht="15.75" hidden="1">
      <c r="A168" s="14"/>
      <c r="B168" s="14">
        <v>150101</v>
      </c>
      <c r="C168" s="14"/>
      <c r="D168" s="15" t="s">
        <v>511</v>
      </c>
      <c r="E168" s="22" t="s">
        <v>513</v>
      </c>
      <c r="F168" s="19"/>
      <c r="G168" s="87" t="e">
        <f t="shared" si="2"/>
        <v>#DIV/0!</v>
      </c>
      <c r="H168" s="19"/>
      <c r="I168" s="86"/>
      <c r="J168" s="79"/>
      <c r="L168" s="79"/>
    </row>
    <row r="169" spans="1:12" s="56" customFormat="1" ht="33" customHeight="1" hidden="1">
      <c r="A169" s="14"/>
      <c r="B169" s="14">
        <v>150101</v>
      </c>
      <c r="C169" s="14"/>
      <c r="D169" s="15" t="s">
        <v>511</v>
      </c>
      <c r="E169" s="22" t="s">
        <v>248</v>
      </c>
      <c r="F169" s="19">
        <v>2321421</v>
      </c>
      <c r="G169" s="87">
        <f t="shared" si="2"/>
        <v>65.1696956303919</v>
      </c>
      <c r="H169" s="19">
        <v>808558</v>
      </c>
      <c r="I169" s="86">
        <v>315609</v>
      </c>
      <c r="J169" s="79"/>
      <c r="L169" s="79"/>
    </row>
    <row r="170" spans="1:12" s="56" customFormat="1" ht="37.5" hidden="1">
      <c r="A170" s="14"/>
      <c r="B170" s="14">
        <v>150101</v>
      </c>
      <c r="C170" s="14"/>
      <c r="D170" s="15" t="s">
        <v>511</v>
      </c>
      <c r="E170" s="118" t="s">
        <v>405</v>
      </c>
      <c r="F170" s="19">
        <v>2703502</v>
      </c>
      <c r="G170" s="87">
        <f t="shared" si="2"/>
        <v>3.62888579331549</v>
      </c>
      <c r="H170" s="19">
        <v>2605395</v>
      </c>
      <c r="I170" s="19">
        <v>2605395</v>
      </c>
      <c r="J170" s="79"/>
      <c r="L170" s="79"/>
    </row>
    <row r="171" spans="1:12" s="56" customFormat="1" ht="37.5" hidden="1">
      <c r="A171" s="14"/>
      <c r="B171" s="14">
        <v>150101</v>
      </c>
      <c r="C171" s="14"/>
      <c r="D171" s="15" t="s">
        <v>511</v>
      </c>
      <c r="E171" s="118" t="s">
        <v>406</v>
      </c>
      <c r="F171" s="19">
        <v>1700000</v>
      </c>
      <c r="G171" s="87">
        <f t="shared" si="2"/>
        <v>1.6929411764705833</v>
      </c>
      <c r="H171" s="19">
        <v>1671220</v>
      </c>
      <c r="I171" s="86">
        <v>1000000</v>
      </c>
      <c r="J171" s="79"/>
      <c r="L171" s="79"/>
    </row>
    <row r="172" spans="1:12" s="56" customFormat="1" ht="37.5" hidden="1">
      <c r="A172" s="14"/>
      <c r="B172" s="14">
        <v>150101</v>
      </c>
      <c r="C172" s="14"/>
      <c r="D172" s="15" t="s">
        <v>511</v>
      </c>
      <c r="E172" s="118" t="s">
        <v>407</v>
      </c>
      <c r="F172" s="19">
        <v>969985</v>
      </c>
      <c r="G172" s="87">
        <f t="shared" si="2"/>
        <v>7.363206647525473</v>
      </c>
      <c r="H172" s="19">
        <v>898563</v>
      </c>
      <c r="I172" s="86">
        <v>898563</v>
      </c>
      <c r="J172" s="79"/>
      <c r="L172" s="79"/>
    </row>
    <row r="173" spans="1:12" s="56" customFormat="1" ht="37.5" hidden="1">
      <c r="A173" s="14"/>
      <c r="B173" s="14">
        <v>150101</v>
      </c>
      <c r="C173" s="14"/>
      <c r="D173" s="15" t="s">
        <v>511</v>
      </c>
      <c r="E173" s="143" t="s">
        <v>408</v>
      </c>
      <c r="F173" s="19">
        <v>822602</v>
      </c>
      <c r="G173" s="18">
        <f t="shared" si="2"/>
        <v>58.78808950136275</v>
      </c>
      <c r="H173" s="19">
        <v>339010</v>
      </c>
      <c r="I173" s="19">
        <v>339010</v>
      </c>
      <c r="J173" s="79"/>
      <c r="L173" s="79"/>
    </row>
    <row r="174" spans="1:12" s="56" customFormat="1" ht="15.75" hidden="1">
      <c r="A174" s="14"/>
      <c r="B174" s="14"/>
      <c r="C174" s="14"/>
      <c r="D174" s="15"/>
      <c r="E174" s="22" t="s">
        <v>513</v>
      </c>
      <c r="F174" s="19"/>
      <c r="G174" s="55"/>
      <c r="H174" s="19"/>
      <c r="I174" s="19"/>
      <c r="J174" s="79"/>
      <c r="L174" s="79"/>
    </row>
    <row r="175" spans="1:12" s="56" customFormat="1" ht="15.75" hidden="1">
      <c r="A175" s="14"/>
      <c r="B175" s="14">
        <v>150101</v>
      </c>
      <c r="C175" s="14"/>
      <c r="D175" s="15" t="s">
        <v>511</v>
      </c>
      <c r="E175" s="22" t="s">
        <v>303</v>
      </c>
      <c r="F175" s="19">
        <v>1210001</v>
      </c>
      <c r="G175" s="18">
        <f>100-(H175/F175*100)</f>
        <v>26.650804420822794</v>
      </c>
      <c r="H175" s="19">
        <v>887526</v>
      </c>
      <c r="I175" s="19">
        <v>562624</v>
      </c>
      <c r="J175" s="79"/>
      <c r="L175" s="79"/>
    </row>
    <row r="176" spans="1:12" s="56" customFormat="1" ht="15.75" hidden="1">
      <c r="A176" s="14"/>
      <c r="B176" s="14">
        <v>150101</v>
      </c>
      <c r="C176" s="14"/>
      <c r="D176" s="15" t="s">
        <v>511</v>
      </c>
      <c r="E176" s="22" t="s">
        <v>513</v>
      </c>
      <c r="F176" s="19"/>
      <c r="G176" s="18" t="e">
        <f>100-(H176/F176*100)</f>
        <v>#DIV/0!</v>
      </c>
      <c r="H176" s="19"/>
      <c r="I176" s="19"/>
      <c r="J176" s="79"/>
      <c r="L176" s="79"/>
    </row>
    <row r="177" spans="1:12" s="56" customFormat="1" ht="32.25" customHeight="1" hidden="1">
      <c r="A177" s="14"/>
      <c r="B177" s="14">
        <v>150101</v>
      </c>
      <c r="C177" s="14"/>
      <c r="D177" s="15" t="s">
        <v>511</v>
      </c>
      <c r="E177" s="143" t="s">
        <v>409</v>
      </c>
      <c r="F177" s="19">
        <v>10600000</v>
      </c>
      <c r="G177" s="18">
        <f>100-(H177/F177*100)</f>
        <v>2.8018867924528337</v>
      </c>
      <c r="H177" s="19">
        <v>10303000</v>
      </c>
      <c r="I177" s="19">
        <v>150000</v>
      </c>
      <c r="J177" s="79"/>
      <c r="L177" s="79"/>
    </row>
    <row r="178" spans="1:12" s="56" customFormat="1" ht="46.5" customHeight="1" hidden="1">
      <c r="A178" s="14"/>
      <c r="B178" s="14">
        <v>150101</v>
      </c>
      <c r="C178" s="14"/>
      <c r="D178" s="15" t="s">
        <v>511</v>
      </c>
      <c r="E178" s="107" t="s">
        <v>339</v>
      </c>
      <c r="F178" s="113">
        <v>1989000</v>
      </c>
      <c r="G178" s="114">
        <f aca="true" t="shared" si="3" ref="G178:G249">100-(H178/F178)*100</f>
        <v>0.7541478129713397</v>
      </c>
      <c r="H178" s="19">
        <v>1974000</v>
      </c>
      <c r="I178" s="19">
        <v>1974000</v>
      </c>
      <c r="J178" s="79"/>
      <c r="L178" s="79"/>
    </row>
    <row r="179" spans="1:12" s="56" customFormat="1" ht="101.25" customHeight="1" hidden="1">
      <c r="A179" s="14"/>
      <c r="B179" s="14"/>
      <c r="C179" s="14"/>
      <c r="D179" s="15" t="s">
        <v>511</v>
      </c>
      <c r="E179" s="111" t="s">
        <v>302</v>
      </c>
      <c r="F179" s="113">
        <v>1512000</v>
      </c>
      <c r="G179" s="114">
        <f t="shared" si="3"/>
        <v>49.73167989417989</v>
      </c>
      <c r="H179" s="109">
        <v>760057</v>
      </c>
      <c r="I179" s="109">
        <v>760057</v>
      </c>
      <c r="J179" s="79"/>
      <c r="L179" s="79"/>
    </row>
    <row r="180" spans="1:12" s="56" customFormat="1" ht="24" customHeight="1" hidden="1">
      <c r="A180" s="14"/>
      <c r="B180" s="14"/>
      <c r="C180" s="14"/>
      <c r="D180" s="15" t="s">
        <v>511</v>
      </c>
      <c r="E180" s="112" t="s">
        <v>383</v>
      </c>
      <c r="F180" s="108">
        <v>742773</v>
      </c>
      <c r="G180" s="114">
        <f t="shared" si="3"/>
        <v>11.36053679926438</v>
      </c>
      <c r="H180" s="108">
        <v>658390</v>
      </c>
      <c r="I180" s="109">
        <v>247171</v>
      </c>
      <c r="J180" s="79"/>
      <c r="L180" s="79"/>
    </row>
    <row r="181" spans="1:12" s="56" customFormat="1" ht="47.25" customHeight="1" hidden="1">
      <c r="A181" s="14"/>
      <c r="B181" s="14"/>
      <c r="C181" s="14"/>
      <c r="D181" s="15" t="s">
        <v>511</v>
      </c>
      <c r="E181" s="143" t="s">
        <v>384</v>
      </c>
      <c r="F181" s="110">
        <v>4604675</v>
      </c>
      <c r="G181" s="114">
        <f t="shared" si="3"/>
        <v>87.49968238800784</v>
      </c>
      <c r="H181" s="19">
        <v>575599</v>
      </c>
      <c r="I181" s="19">
        <v>575599</v>
      </c>
      <c r="J181" s="79"/>
      <c r="L181" s="79"/>
    </row>
    <row r="182" spans="1:12" s="56" customFormat="1" ht="58.5" customHeight="1" hidden="1">
      <c r="A182" s="14"/>
      <c r="B182" s="14"/>
      <c r="C182" s="14"/>
      <c r="D182" s="15" t="s">
        <v>511</v>
      </c>
      <c r="E182" s="116" t="s">
        <v>385</v>
      </c>
      <c r="F182" s="19">
        <v>1108840</v>
      </c>
      <c r="G182" s="114">
        <f t="shared" si="3"/>
        <v>0</v>
      </c>
      <c r="H182" s="19">
        <v>1108840</v>
      </c>
      <c r="I182" s="19">
        <v>100000</v>
      </c>
      <c r="J182" s="79"/>
      <c r="L182" s="79"/>
    </row>
    <row r="183" spans="1:12" s="56" customFormat="1" ht="75" hidden="1">
      <c r="A183" s="14"/>
      <c r="B183" s="14">
        <v>150101</v>
      </c>
      <c r="C183" s="14"/>
      <c r="D183" s="15" t="s">
        <v>511</v>
      </c>
      <c r="E183" s="111" t="s">
        <v>386</v>
      </c>
      <c r="F183" s="19">
        <v>8333000</v>
      </c>
      <c r="G183" s="114">
        <f t="shared" si="3"/>
        <v>1.706456258250327</v>
      </c>
      <c r="H183" s="19">
        <v>8190801</v>
      </c>
      <c r="I183" s="19">
        <f>4000000+3782760</f>
        <v>7782760</v>
      </c>
      <c r="J183" s="79"/>
      <c r="L183" s="79"/>
    </row>
    <row r="184" spans="1:12" s="56" customFormat="1" ht="56.25" hidden="1">
      <c r="A184" s="14"/>
      <c r="B184" s="14"/>
      <c r="C184" s="14"/>
      <c r="D184" s="15"/>
      <c r="E184" s="111" t="s">
        <v>387</v>
      </c>
      <c r="F184" s="19">
        <v>8930209</v>
      </c>
      <c r="G184" s="114">
        <f t="shared" si="3"/>
        <v>6.011606223325799</v>
      </c>
      <c r="H184" s="19">
        <v>8393360</v>
      </c>
      <c r="I184" s="19">
        <v>2568303</v>
      </c>
      <c r="J184" s="79"/>
      <c r="L184" s="79"/>
    </row>
    <row r="185" spans="1:12" s="56" customFormat="1" ht="37.5" hidden="1">
      <c r="A185" s="14"/>
      <c r="B185" s="14">
        <v>150101</v>
      </c>
      <c r="C185" s="14"/>
      <c r="D185" s="15" t="s">
        <v>511</v>
      </c>
      <c r="E185" s="111" t="s">
        <v>402</v>
      </c>
      <c r="F185" s="19">
        <v>4027730</v>
      </c>
      <c r="G185" s="18">
        <f t="shared" si="3"/>
        <v>87.76616108825567</v>
      </c>
      <c r="H185" s="19">
        <v>492746</v>
      </c>
      <c r="I185" s="19">
        <v>205</v>
      </c>
      <c r="J185" s="79"/>
      <c r="L185" s="79"/>
    </row>
    <row r="186" spans="1:12" s="56" customFormat="1" ht="75" hidden="1">
      <c r="A186" s="14"/>
      <c r="B186" s="14">
        <v>150101</v>
      </c>
      <c r="C186" s="14"/>
      <c r="D186" s="15" t="s">
        <v>511</v>
      </c>
      <c r="E186" s="118" t="s">
        <v>410</v>
      </c>
      <c r="F186" s="19">
        <v>3068143</v>
      </c>
      <c r="G186" s="18">
        <f t="shared" si="3"/>
        <v>0.0403501401336257</v>
      </c>
      <c r="H186" s="19">
        <v>3066905</v>
      </c>
      <c r="I186" s="19">
        <v>3066905</v>
      </c>
      <c r="J186" s="79"/>
      <c r="L186" s="79"/>
    </row>
    <row r="187" spans="1:12" s="56" customFormat="1" ht="37.5" hidden="1">
      <c r="A187" s="14"/>
      <c r="B187" s="14">
        <v>150101</v>
      </c>
      <c r="C187" s="14"/>
      <c r="D187" s="15" t="s">
        <v>511</v>
      </c>
      <c r="E187" s="111" t="s">
        <v>388</v>
      </c>
      <c r="F187" s="19">
        <v>2000000</v>
      </c>
      <c r="G187" s="18">
        <f t="shared" si="3"/>
        <v>3.540849999999992</v>
      </c>
      <c r="H187" s="19">
        <v>1929183</v>
      </c>
      <c r="I187" s="19">
        <v>414184</v>
      </c>
      <c r="J187" s="79"/>
      <c r="L187" s="79"/>
    </row>
    <row r="188" spans="1:12" s="56" customFormat="1" ht="56.25" hidden="1">
      <c r="A188" s="14"/>
      <c r="B188" s="14">
        <v>150101</v>
      </c>
      <c r="C188" s="14"/>
      <c r="D188" s="15" t="s">
        <v>511</v>
      </c>
      <c r="E188" s="106" t="s">
        <v>411</v>
      </c>
      <c r="F188" s="19">
        <v>267783</v>
      </c>
      <c r="G188" s="18">
        <f t="shared" si="3"/>
        <v>18.626275753128468</v>
      </c>
      <c r="H188" s="19">
        <v>217905</v>
      </c>
      <c r="I188" s="19">
        <v>217905</v>
      </c>
      <c r="J188" s="79"/>
      <c r="L188" s="79"/>
    </row>
    <row r="189" spans="1:12" s="20" customFormat="1" ht="93.75" hidden="1">
      <c r="A189" s="14"/>
      <c r="B189" s="14">
        <v>150101</v>
      </c>
      <c r="C189" s="14"/>
      <c r="D189" s="15" t="s">
        <v>511</v>
      </c>
      <c r="E189" s="117" t="s">
        <v>276</v>
      </c>
      <c r="F189" s="17">
        <v>1031825</v>
      </c>
      <c r="G189" s="18">
        <f t="shared" si="3"/>
        <v>6.9085358466794276</v>
      </c>
      <c r="H189" s="17">
        <v>960541</v>
      </c>
      <c r="I189" s="17">
        <v>960541</v>
      </c>
      <c r="J189" s="78"/>
      <c r="L189" s="78"/>
    </row>
    <row r="190" spans="1:12" s="20" customFormat="1" ht="56.25" hidden="1">
      <c r="A190" s="14"/>
      <c r="B190" s="14">
        <v>150101</v>
      </c>
      <c r="C190" s="14"/>
      <c r="D190" s="15" t="s">
        <v>511</v>
      </c>
      <c r="E190" s="111" t="s">
        <v>403</v>
      </c>
      <c r="F190" s="17">
        <v>14805017</v>
      </c>
      <c r="G190" s="18">
        <f t="shared" si="3"/>
        <v>3.1051703621819513</v>
      </c>
      <c r="H190" s="17">
        <v>14345296</v>
      </c>
      <c r="I190" s="19">
        <v>87356</v>
      </c>
      <c r="J190" s="78"/>
      <c r="L190" s="78"/>
    </row>
    <row r="191" spans="1:12" s="20" customFormat="1" ht="93.75" hidden="1">
      <c r="A191" s="14"/>
      <c r="B191" s="14">
        <v>150101</v>
      </c>
      <c r="C191" s="14"/>
      <c r="D191" s="15" t="s">
        <v>511</v>
      </c>
      <c r="E191" s="117" t="s">
        <v>389</v>
      </c>
      <c r="F191" s="17">
        <v>1200000</v>
      </c>
      <c r="G191" s="18">
        <f t="shared" si="3"/>
        <v>0</v>
      </c>
      <c r="H191" s="17">
        <v>1200000</v>
      </c>
      <c r="I191" s="17">
        <v>1200000</v>
      </c>
      <c r="J191" s="78"/>
      <c r="L191" s="78"/>
    </row>
    <row r="192" spans="1:12" s="20" customFormat="1" ht="74.25" customHeight="1" hidden="1">
      <c r="A192" s="14"/>
      <c r="B192" s="14">
        <v>150101</v>
      </c>
      <c r="C192" s="14"/>
      <c r="D192" s="15" t="s">
        <v>511</v>
      </c>
      <c r="E192" s="111" t="s">
        <v>412</v>
      </c>
      <c r="F192" s="17">
        <v>3012364</v>
      </c>
      <c r="G192" s="18">
        <f t="shared" si="3"/>
        <v>76.44069574593243</v>
      </c>
      <c r="H192" s="85">
        <v>709692</v>
      </c>
      <c r="I192" s="85">
        <v>709692</v>
      </c>
      <c r="J192" s="78"/>
      <c r="L192" s="78"/>
    </row>
    <row r="193" spans="1:12" s="20" customFormat="1" ht="37.5" hidden="1">
      <c r="A193" s="14"/>
      <c r="B193" s="14">
        <v>150101</v>
      </c>
      <c r="C193" s="14"/>
      <c r="D193" s="15" t="s">
        <v>511</v>
      </c>
      <c r="E193" s="119" t="s">
        <v>390</v>
      </c>
      <c r="F193" s="17">
        <v>2037432</v>
      </c>
      <c r="G193" s="18">
        <f t="shared" si="3"/>
        <v>62.594481680861</v>
      </c>
      <c r="H193" s="17">
        <v>762112</v>
      </c>
      <c r="I193" s="85">
        <v>762112</v>
      </c>
      <c r="J193" s="78"/>
      <c r="L193" s="78"/>
    </row>
    <row r="194" spans="1:12" s="20" customFormat="1" ht="56.25" hidden="1">
      <c r="A194" s="14"/>
      <c r="B194" s="14">
        <v>150101</v>
      </c>
      <c r="C194" s="14"/>
      <c r="D194" s="15" t="s">
        <v>511</v>
      </c>
      <c r="E194" s="120" t="s">
        <v>391</v>
      </c>
      <c r="F194" s="17">
        <v>4483600</v>
      </c>
      <c r="G194" s="18">
        <f t="shared" si="3"/>
        <v>89.21692390043715</v>
      </c>
      <c r="H194" s="85">
        <v>483470</v>
      </c>
      <c r="I194" s="85">
        <v>483470</v>
      </c>
      <c r="J194" s="78"/>
      <c r="L194" s="78"/>
    </row>
    <row r="195" spans="1:12" s="20" customFormat="1" ht="56.25" hidden="1">
      <c r="A195" s="14"/>
      <c r="B195" s="14">
        <v>150101</v>
      </c>
      <c r="C195" s="14"/>
      <c r="D195" s="15" t="s">
        <v>511</v>
      </c>
      <c r="E195" s="120" t="s">
        <v>392</v>
      </c>
      <c r="F195" s="17">
        <v>992627</v>
      </c>
      <c r="G195" s="18">
        <f t="shared" si="3"/>
        <v>32.38034024865331</v>
      </c>
      <c r="H195" s="17">
        <v>671211</v>
      </c>
      <c r="I195" s="85">
        <v>671211</v>
      </c>
      <c r="J195" s="78"/>
      <c r="L195" s="78"/>
    </row>
    <row r="196" spans="1:12" s="20" customFormat="1" ht="93.75" hidden="1">
      <c r="A196" s="14"/>
      <c r="B196" s="14">
        <v>150101</v>
      </c>
      <c r="C196" s="14"/>
      <c r="D196" s="15" t="s">
        <v>511</v>
      </c>
      <c r="E196" s="118" t="s">
        <v>393</v>
      </c>
      <c r="F196" s="17">
        <v>0</v>
      </c>
      <c r="G196" s="18" t="e">
        <f t="shared" si="3"/>
        <v>#DIV/0!</v>
      </c>
      <c r="H196" s="17">
        <v>0</v>
      </c>
      <c r="I196" s="85"/>
      <c r="J196" s="78"/>
      <c r="L196" s="78"/>
    </row>
    <row r="197" spans="1:12" s="20" customFormat="1" ht="60" customHeight="1" hidden="1">
      <c r="A197" s="14"/>
      <c r="B197" s="14">
        <v>150101</v>
      </c>
      <c r="C197" s="14"/>
      <c r="D197" s="15" t="s">
        <v>511</v>
      </c>
      <c r="E197" s="111" t="s">
        <v>431</v>
      </c>
      <c r="F197" s="17">
        <v>2489880</v>
      </c>
      <c r="G197" s="18">
        <f t="shared" si="3"/>
        <v>94.85131813581377</v>
      </c>
      <c r="H197" s="17">
        <v>128196</v>
      </c>
      <c r="I197" s="85">
        <v>37490</v>
      </c>
      <c r="J197" s="78"/>
      <c r="L197" s="78"/>
    </row>
    <row r="198" spans="1:12" s="20" customFormat="1" ht="37.5" hidden="1">
      <c r="A198" s="14"/>
      <c r="B198" s="14">
        <v>150101</v>
      </c>
      <c r="C198" s="14"/>
      <c r="D198" s="15" t="s">
        <v>511</v>
      </c>
      <c r="E198" s="111" t="s">
        <v>2</v>
      </c>
      <c r="F198" s="17">
        <v>10526268</v>
      </c>
      <c r="G198" s="18">
        <f t="shared" si="3"/>
        <v>4.464497768819882</v>
      </c>
      <c r="H198" s="17">
        <v>10056323</v>
      </c>
      <c r="I198" s="85">
        <f>1000000+9526268</f>
        <v>10526268</v>
      </c>
      <c r="J198" s="78"/>
      <c r="L198" s="78"/>
    </row>
    <row r="199" spans="1:12" s="20" customFormat="1" ht="93.75" hidden="1">
      <c r="A199" s="14"/>
      <c r="B199" s="14">
        <v>150101</v>
      </c>
      <c r="C199" s="14"/>
      <c r="D199" s="15" t="s">
        <v>511</v>
      </c>
      <c r="E199" s="111" t="s">
        <v>394</v>
      </c>
      <c r="F199" s="17">
        <v>1217413</v>
      </c>
      <c r="G199" s="18">
        <f t="shared" si="3"/>
        <v>42.43128667099826</v>
      </c>
      <c r="H199" s="85">
        <v>700849</v>
      </c>
      <c r="I199" s="85">
        <v>700849</v>
      </c>
      <c r="J199" s="78"/>
      <c r="L199" s="78"/>
    </row>
    <row r="200" spans="1:12" s="20" customFormat="1" ht="75" hidden="1">
      <c r="A200" s="14"/>
      <c r="B200" s="14">
        <v>150101</v>
      </c>
      <c r="C200" s="14"/>
      <c r="D200" s="15" t="s">
        <v>511</v>
      </c>
      <c r="E200" s="111" t="s">
        <v>395</v>
      </c>
      <c r="F200" s="17">
        <v>3268607</v>
      </c>
      <c r="G200" s="18">
        <f t="shared" si="3"/>
        <v>83.70688186129443</v>
      </c>
      <c r="H200" s="85">
        <v>532558</v>
      </c>
      <c r="I200" s="85">
        <v>532558</v>
      </c>
      <c r="J200" s="78"/>
      <c r="L200" s="78"/>
    </row>
    <row r="201" spans="1:12" s="20" customFormat="1" ht="56.25" hidden="1">
      <c r="A201" s="14"/>
      <c r="B201" s="14">
        <v>150101</v>
      </c>
      <c r="C201" s="14"/>
      <c r="D201" s="15" t="s">
        <v>511</v>
      </c>
      <c r="E201" s="111" t="s">
        <v>396</v>
      </c>
      <c r="F201" s="17">
        <v>11704046</v>
      </c>
      <c r="G201" s="18">
        <f t="shared" si="3"/>
        <v>32.631074758250264</v>
      </c>
      <c r="H201" s="85">
        <v>7884890</v>
      </c>
      <c r="I201" s="85">
        <v>7884890</v>
      </c>
      <c r="J201" s="78"/>
      <c r="L201" s="78"/>
    </row>
    <row r="202" spans="1:12" s="20" customFormat="1" ht="37.5" hidden="1">
      <c r="A202" s="14"/>
      <c r="B202" s="14">
        <v>150101</v>
      </c>
      <c r="C202" s="14"/>
      <c r="D202" s="15" t="s">
        <v>511</v>
      </c>
      <c r="E202" s="107" t="s">
        <v>432</v>
      </c>
      <c r="F202" s="17">
        <v>389279</v>
      </c>
      <c r="G202" s="18">
        <f t="shared" si="3"/>
        <v>82.41441228527611</v>
      </c>
      <c r="H202" s="17">
        <v>68457</v>
      </c>
      <c r="I202" s="85">
        <v>654</v>
      </c>
      <c r="J202" s="78"/>
      <c r="L202" s="78"/>
    </row>
    <row r="203" spans="1:12" s="20" customFormat="1" ht="56.25" hidden="1">
      <c r="A203" s="14"/>
      <c r="B203" s="14">
        <v>150101</v>
      </c>
      <c r="C203" s="14"/>
      <c r="D203" s="15" t="s">
        <v>511</v>
      </c>
      <c r="E203" s="111" t="s">
        <v>397</v>
      </c>
      <c r="F203" s="17">
        <v>600000</v>
      </c>
      <c r="G203" s="18">
        <f t="shared" si="3"/>
        <v>20.426666666666677</v>
      </c>
      <c r="H203" s="17">
        <v>477440</v>
      </c>
      <c r="I203" s="85">
        <v>350000</v>
      </c>
      <c r="J203" s="78"/>
      <c r="L203" s="78"/>
    </row>
    <row r="204" spans="1:12" s="20" customFormat="1" ht="37.5" customHeight="1" hidden="1">
      <c r="A204" s="14"/>
      <c r="B204" s="14">
        <v>150101</v>
      </c>
      <c r="C204" s="14"/>
      <c r="D204" s="15" t="s">
        <v>511</v>
      </c>
      <c r="E204" s="121" t="s">
        <v>398</v>
      </c>
      <c r="F204" s="17">
        <v>1000000</v>
      </c>
      <c r="G204" s="18">
        <f t="shared" si="3"/>
        <v>3.8079000000000036</v>
      </c>
      <c r="H204" s="17">
        <v>961921</v>
      </c>
      <c r="I204" s="85">
        <v>537060</v>
      </c>
      <c r="J204" s="78"/>
      <c r="L204" s="78"/>
    </row>
    <row r="205" spans="1:12" s="20" customFormat="1" ht="58.5" customHeight="1" hidden="1">
      <c r="A205" s="14"/>
      <c r="B205" s="14">
        <v>150101</v>
      </c>
      <c r="C205" s="14"/>
      <c r="D205" s="15" t="s">
        <v>511</v>
      </c>
      <c r="E205" s="122" t="s">
        <v>399</v>
      </c>
      <c r="F205" s="17">
        <v>489913</v>
      </c>
      <c r="G205" s="18">
        <f t="shared" si="3"/>
        <v>0</v>
      </c>
      <c r="H205" s="17">
        <v>489913</v>
      </c>
      <c r="I205" s="17">
        <v>489913</v>
      </c>
      <c r="J205" s="78"/>
      <c r="L205" s="78"/>
    </row>
    <row r="206" spans="1:12" s="20" customFormat="1" ht="56.25" hidden="1">
      <c r="A206" s="14"/>
      <c r="B206" s="14">
        <v>150101</v>
      </c>
      <c r="C206" s="14"/>
      <c r="D206" s="15" t="s">
        <v>511</v>
      </c>
      <c r="E206" s="123" t="s">
        <v>400</v>
      </c>
      <c r="F206" s="17">
        <v>383378</v>
      </c>
      <c r="G206" s="18">
        <f t="shared" si="3"/>
        <v>86.8539665812853</v>
      </c>
      <c r="H206" s="85">
        <v>50399</v>
      </c>
      <c r="I206" s="85">
        <v>50399</v>
      </c>
      <c r="J206" s="78"/>
      <c r="L206" s="78"/>
    </row>
    <row r="207" spans="1:12" s="20" customFormat="1" ht="58.5" customHeight="1" hidden="1">
      <c r="A207" s="14"/>
      <c r="B207" s="14">
        <v>150101</v>
      </c>
      <c r="C207" s="14"/>
      <c r="D207" s="15" t="s">
        <v>511</v>
      </c>
      <c r="E207" s="123" t="s">
        <v>413</v>
      </c>
      <c r="F207" s="17">
        <v>240000</v>
      </c>
      <c r="G207" s="18">
        <f t="shared" si="3"/>
        <v>52.32208333333334</v>
      </c>
      <c r="H207" s="17">
        <v>114427</v>
      </c>
      <c r="I207" s="85">
        <v>50000</v>
      </c>
      <c r="J207" s="78"/>
      <c r="L207" s="78"/>
    </row>
    <row r="208" spans="1:12" s="20" customFormat="1" ht="37.5" customHeight="1" hidden="1">
      <c r="A208" s="14"/>
      <c r="B208" s="14">
        <v>150101</v>
      </c>
      <c r="C208" s="14"/>
      <c r="D208" s="15" t="s">
        <v>511</v>
      </c>
      <c r="E208" s="106" t="s">
        <v>414</v>
      </c>
      <c r="F208" s="17">
        <v>250000</v>
      </c>
      <c r="G208" s="18">
        <f t="shared" si="3"/>
        <v>0</v>
      </c>
      <c r="H208" s="17">
        <v>250000</v>
      </c>
      <c r="I208" s="85">
        <v>150000</v>
      </c>
      <c r="J208" s="78"/>
      <c r="L208" s="78"/>
    </row>
    <row r="209" spans="1:12" s="20" customFormat="1" ht="56.25" hidden="1">
      <c r="A209" s="14"/>
      <c r="B209" s="14">
        <v>150101</v>
      </c>
      <c r="C209" s="14"/>
      <c r="D209" s="15" t="s">
        <v>511</v>
      </c>
      <c r="E209" s="111" t="s">
        <v>325</v>
      </c>
      <c r="F209" s="17">
        <v>1220465</v>
      </c>
      <c r="G209" s="18">
        <f t="shared" si="3"/>
        <v>70.27485425636951</v>
      </c>
      <c r="H209" s="85">
        <v>362785</v>
      </c>
      <c r="I209" s="85">
        <v>362785</v>
      </c>
      <c r="J209" s="78"/>
      <c r="L209" s="78"/>
    </row>
    <row r="210" spans="1:12" s="20" customFormat="1" ht="37.5" hidden="1">
      <c r="A210" s="14"/>
      <c r="B210" s="14">
        <v>150101</v>
      </c>
      <c r="C210" s="14"/>
      <c r="D210" s="15" t="s">
        <v>511</v>
      </c>
      <c r="E210" s="115" t="s">
        <v>401</v>
      </c>
      <c r="F210" s="17">
        <v>2703767</v>
      </c>
      <c r="G210" s="18">
        <f t="shared" si="3"/>
        <v>3.5567783762432157</v>
      </c>
      <c r="H210" s="85">
        <v>2607600</v>
      </c>
      <c r="I210" s="85">
        <v>2607600</v>
      </c>
      <c r="J210" s="78"/>
      <c r="L210" s="78"/>
    </row>
    <row r="211" spans="1:12" s="20" customFormat="1" ht="37.5" hidden="1">
      <c r="A211" s="14"/>
      <c r="B211" s="14">
        <v>150101</v>
      </c>
      <c r="C211" s="14"/>
      <c r="D211" s="15" t="s">
        <v>511</v>
      </c>
      <c r="E211" s="111" t="s">
        <v>478</v>
      </c>
      <c r="F211" s="17">
        <v>1000000</v>
      </c>
      <c r="G211" s="18">
        <f t="shared" si="3"/>
        <v>0</v>
      </c>
      <c r="H211" s="85">
        <v>1000000</v>
      </c>
      <c r="I211" s="85">
        <v>1000000</v>
      </c>
      <c r="J211" s="78"/>
      <c r="L211" s="78"/>
    </row>
    <row r="212" spans="1:12" s="20" customFormat="1" ht="75" hidden="1">
      <c r="A212" s="14"/>
      <c r="B212" s="14">
        <v>150101</v>
      </c>
      <c r="C212" s="14"/>
      <c r="D212" s="15" t="s">
        <v>511</v>
      </c>
      <c r="E212" s="127" t="s">
        <v>448</v>
      </c>
      <c r="F212" s="17">
        <v>208941</v>
      </c>
      <c r="G212" s="18">
        <f t="shared" si="3"/>
        <v>0</v>
      </c>
      <c r="H212" s="17">
        <v>208941</v>
      </c>
      <c r="I212" s="85">
        <v>208941</v>
      </c>
      <c r="J212" s="78"/>
      <c r="L212" s="78"/>
    </row>
    <row r="213" spans="1:12" s="20" customFormat="1" ht="56.25" hidden="1">
      <c r="A213" s="14"/>
      <c r="B213" s="14">
        <v>150101</v>
      </c>
      <c r="C213" s="14"/>
      <c r="D213" s="15" t="s">
        <v>511</v>
      </c>
      <c r="E213" s="127" t="s">
        <v>449</v>
      </c>
      <c r="F213" s="17">
        <v>4973996</v>
      </c>
      <c r="G213" s="18">
        <f t="shared" si="3"/>
        <v>2.452756294938723</v>
      </c>
      <c r="H213" s="17">
        <v>4851996</v>
      </c>
      <c r="I213" s="85">
        <v>13950</v>
      </c>
      <c r="J213" s="78"/>
      <c r="L213" s="78"/>
    </row>
    <row r="214" spans="1:12" s="20" customFormat="1" ht="39.75" customHeight="1" hidden="1">
      <c r="A214" s="14"/>
      <c r="B214" s="14">
        <v>150101</v>
      </c>
      <c r="C214" s="14"/>
      <c r="D214" s="15" t="s">
        <v>511</v>
      </c>
      <c r="E214" s="124" t="s">
        <v>340</v>
      </c>
      <c r="F214" s="17">
        <v>75358</v>
      </c>
      <c r="G214" s="18">
        <f t="shared" si="3"/>
        <v>44.72783247963056</v>
      </c>
      <c r="H214" s="17">
        <v>41652</v>
      </c>
      <c r="I214" s="17">
        <v>41646</v>
      </c>
      <c r="J214" s="78"/>
      <c r="L214" s="78"/>
    </row>
    <row r="215" spans="1:12" s="20" customFormat="1" ht="37.5" hidden="1">
      <c r="A215" s="14"/>
      <c r="B215" s="14">
        <v>150101</v>
      </c>
      <c r="C215" s="14"/>
      <c r="D215" s="15" t="s">
        <v>511</v>
      </c>
      <c r="E215" s="124" t="s">
        <v>450</v>
      </c>
      <c r="F215" s="17">
        <v>144000</v>
      </c>
      <c r="G215" s="18">
        <f t="shared" si="3"/>
        <v>18.200000000000003</v>
      </c>
      <c r="H215" s="17">
        <v>117792</v>
      </c>
      <c r="I215" s="17">
        <v>35000</v>
      </c>
      <c r="J215" s="78"/>
      <c r="L215" s="78"/>
    </row>
    <row r="216" spans="1:12" s="20" customFormat="1" ht="56.25" hidden="1">
      <c r="A216" s="14"/>
      <c r="B216" s="14">
        <v>150101</v>
      </c>
      <c r="C216" s="14"/>
      <c r="D216" s="15" t="s">
        <v>511</v>
      </c>
      <c r="E216" s="125" t="s">
        <v>451</v>
      </c>
      <c r="F216" s="17">
        <v>75492</v>
      </c>
      <c r="G216" s="18">
        <f t="shared" si="3"/>
        <v>0</v>
      </c>
      <c r="H216" s="17">
        <v>75492</v>
      </c>
      <c r="I216" s="17">
        <v>75492</v>
      </c>
      <c r="J216" s="78"/>
      <c r="L216" s="78"/>
    </row>
    <row r="217" spans="1:12" s="20" customFormat="1" ht="37.5" hidden="1">
      <c r="A217" s="14"/>
      <c r="B217" s="14">
        <v>150101</v>
      </c>
      <c r="C217" s="14"/>
      <c r="D217" s="15" t="s">
        <v>511</v>
      </c>
      <c r="E217" s="124" t="s">
        <v>324</v>
      </c>
      <c r="F217" s="17">
        <v>1100000</v>
      </c>
      <c r="G217" s="18">
        <f t="shared" si="3"/>
        <v>0</v>
      </c>
      <c r="H217" s="17">
        <v>1100000</v>
      </c>
      <c r="I217" s="17">
        <v>210000</v>
      </c>
      <c r="J217" s="78"/>
      <c r="L217" s="78"/>
    </row>
    <row r="218" spans="1:12" s="20" customFormat="1" ht="75" hidden="1">
      <c r="A218" s="14"/>
      <c r="B218" s="14">
        <v>150101</v>
      </c>
      <c r="C218" s="14"/>
      <c r="D218" s="15" t="s">
        <v>511</v>
      </c>
      <c r="E218" s="115" t="s">
        <v>322</v>
      </c>
      <c r="F218" s="17">
        <v>1084259</v>
      </c>
      <c r="G218" s="18">
        <f t="shared" si="3"/>
        <v>8.885976505613513</v>
      </c>
      <c r="H218" s="17">
        <v>987912</v>
      </c>
      <c r="I218" s="17">
        <v>903420</v>
      </c>
      <c r="J218" s="78"/>
      <c r="L218" s="78"/>
    </row>
    <row r="219" spans="1:12" s="20" customFormat="1" ht="56.25" hidden="1">
      <c r="A219" s="14"/>
      <c r="B219" s="14">
        <v>150101</v>
      </c>
      <c r="C219" s="14"/>
      <c r="D219" s="15" t="s">
        <v>511</v>
      </c>
      <c r="E219" s="111" t="s">
        <v>317</v>
      </c>
      <c r="F219" s="17">
        <v>636238</v>
      </c>
      <c r="G219" s="18">
        <f t="shared" si="3"/>
        <v>62.39630452755101</v>
      </c>
      <c r="H219" s="17">
        <v>239249</v>
      </c>
      <c r="I219" s="17">
        <v>239249</v>
      </c>
      <c r="J219" s="78"/>
      <c r="L219" s="78"/>
    </row>
    <row r="220" spans="1:12" s="20" customFormat="1" ht="56.25" hidden="1">
      <c r="A220" s="14"/>
      <c r="B220" s="14">
        <v>150101</v>
      </c>
      <c r="C220" s="14"/>
      <c r="D220" s="15" t="s">
        <v>511</v>
      </c>
      <c r="E220" s="111" t="s">
        <v>452</v>
      </c>
      <c r="F220" s="17">
        <v>400000</v>
      </c>
      <c r="G220" s="18">
        <v>0</v>
      </c>
      <c r="H220" s="17">
        <v>400000</v>
      </c>
      <c r="I220" s="17">
        <v>400000</v>
      </c>
      <c r="J220" s="78"/>
      <c r="L220" s="78"/>
    </row>
    <row r="221" spans="1:12" s="20" customFormat="1" ht="56.25" hidden="1">
      <c r="A221" s="14"/>
      <c r="B221" s="14">
        <v>150101</v>
      </c>
      <c r="C221" s="14"/>
      <c r="D221" s="15" t="s">
        <v>511</v>
      </c>
      <c r="E221" s="111" t="s">
        <v>433</v>
      </c>
      <c r="F221" s="17">
        <v>376904</v>
      </c>
      <c r="G221" s="18">
        <f t="shared" si="3"/>
        <v>2.881900961518042</v>
      </c>
      <c r="H221" s="17">
        <v>366042</v>
      </c>
      <c r="I221" s="17">
        <v>18385</v>
      </c>
      <c r="J221" s="78"/>
      <c r="L221" s="78"/>
    </row>
    <row r="222" spans="1:12" s="20" customFormat="1" ht="56.25" hidden="1">
      <c r="A222" s="14"/>
      <c r="B222" s="14">
        <v>150101</v>
      </c>
      <c r="C222" s="14"/>
      <c r="D222" s="15" t="s">
        <v>511</v>
      </c>
      <c r="E222" s="111" t="s">
        <v>453</v>
      </c>
      <c r="F222" s="17"/>
      <c r="G222" s="18"/>
      <c r="H222" s="17"/>
      <c r="I222" s="17"/>
      <c r="J222" s="78"/>
      <c r="L222" s="78"/>
    </row>
    <row r="223" spans="1:12" s="20" customFormat="1" ht="37.5" hidden="1">
      <c r="A223" s="14"/>
      <c r="B223" s="14">
        <v>150101</v>
      </c>
      <c r="C223" s="14"/>
      <c r="D223" s="15" t="s">
        <v>511</v>
      </c>
      <c r="E223" s="111" t="s">
        <v>454</v>
      </c>
      <c r="F223" s="17">
        <v>6185308</v>
      </c>
      <c r="G223" s="18">
        <f t="shared" si="3"/>
        <v>5.43004487407903</v>
      </c>
      <c r="H223" s="17">
        <v>5849443</v>
      </c>
      <c r="I223" s="17">
        <v>5849443</v>
      </c>
      <c r="J223" s="78"/>
      <c r="L223" s="78"/>
    </row>
    <row r="224" spans="1:12" s="20" customFormat="1" ht="75" hidden="1">
      <c r="A224" s="14"/>
      <c r="B224" s="14">
        <v>150101</v>
      </c>
      <c r="C224" s="14"/>
      <c r="D224" s="15" t="s">
        <v>511</v>
      </c>
      <c r="E224" s="111" t="s">
        <v>455</v>
      </c>
      <c r="F224" s="17">
        <v>164449</v>
      </c>
      <c r="G224" s="18">
        <f t="shared" si="3"/>
        <v>0</v>
      </c>
      <c r="H224" s="17">
        <v>164449</v>
      </c>
      <c r="I224" s="17">
        <v>164449</v>
      </c>
      <c r="J224" s="78"/>
      <c r="L224" s="78"/>
    </row>
    <row r="225" spans="1:12" s="20" customFormat="1" ht="56.25" hidden="1">
      <c r="A225" s="14"/>
      <c r="B225" s="14">
        <v>150101</v>
      </c>
      <c r="C225" s="14"/>
      <c r="D225" s="15" t="s">
        <v>511</v>
      </c>
      <c r="E225" s="111" t="s">
        <v>415</v>
      </c>
      <c r="F225" s="17">
        <v>19433</v>
      </c>
      <c r="G225" s="18">
        <f t="shared" si="3"/>
        <v>0</v>
      </c>
      <c r="H225" s="17">
        <v>19433</v>
      </c>
      <c r="I225" s="17">
        <v>17440</v>
      </c>
      <c r="J225" s="78"/>
      <c r="L225" s="78"/>
    </row>
    <row r="226" spans="1:12" s="20" customFormat="1" ht="84.75" customHeight="1" hidden="1">
      <c r="A226" s="14"/>
      <c r="B226" s="14">
        <v>150101</v>
      </c>
      <c r="C226" s="14"/>
      <c r="D226" s="15" t="s">
        <v>511</v>
      </c>
      <c r="E226" s="111" t="s">
        <v>416</v>
      </c>
      <c r="F226" s="17">
        <v>3285910</v>
      </c>
      <c r="G226" s="18">
        <f t="shared" si="3"/>
        <v>0</v>
      </c>
      <c r="H226" s="17">
        <v>3285910</v>
      </c>
      <c r="I226" s="17">
        <v>2166383</v>
      </c>
      <c r="J226" s="78"/>
      <c r="L226" s="78"/>
    </row>
    <row r="227" spans="1:12" s="20" customFormat="1" ht="37.5" hidden="1">
      <c r="A227" s="14"/>
      <c r="B227" s="14">
        <v>150101</v>
      </c>
      <c r="C227" s="14"/>
      <c r="D227" s="15" t="s">
        <v>511</v>
      </c>
      <c r="E227" s="107" t="s">
        <v>417</v>
      </c>
      <c r="F227" s="17">
        <v>267878</v>
      </c>
      <c r="G227" s="18">
        <f t="shared" si="3"/>
        <v>32.23967627054107</v>
      </c>
      <c r="H227" s="17">
        <v>181515</v>
      </c>
      <c r="I227" s="17">
        <v>181515</v>
      </c>
      <c r="J227" s="78"/>
      <c r="L227" s="78"/>
    </row>
    <row r="228" spans="1:12" s="20" customFormat="1" ht="37.5" hidden="1">
      <c r="A228" s="14"/>
      <c r="B228" s="14">
        <v>150101</v>
      </c>
      <c r="C228" s="14"/>
      <c r="D228" s="15" t="s">
        <v>511</v>
      </c>
      <c r="E228" s="107" t="s">
        <v>418</v>
      </c>
      <c r="F228" s="17">
        <v>253469</v>
      </c>
      <c r="G228" s="18">
        <f t="shared" si="3"/>
        <v>31.1079461393701</v>
      </c>
      <c r="H228" s="17">
        <v>174620</v>
      </c>
      <c r="I228" s="17">
        <v>174620</v>
      </c>
      <c r="J228" s="78"/>
      <c r="L228" s="78"/>
    </row>
    <row r="229" spans="1:12" s="20" customFormat="1" ht="39.75" customHeight="1" hidden="1">
      <c r="A229" s="14"/>
      <c r="B229" s="14">
        <v>150101</v>
      </c>
      <c r="C229" s="14"/>
      <c r="D229" s="15" t="s">
        <v>511</v>
      </c>
      <c r="E229" s="107" t="s">
        <v>419</v>
      </c>
      <c r="F229" s="17">
        <v>219013</v>
      </c>
      <c r="G229" s="18">
        <f t="shared" si="3"/>
        <v>11.770534169204566</v>
      </c>
      <c r="H229" s="17">
        <v>193234</v>
      </c>
      <c r="I229" s="17">
        <v>193234</v>
      </c>
      <c r="J229" s="78"/>
      <c r="L229" s="78"/>
    </row>
    <row r="230" spans="1:12" s="20" customFormat="1" ht="54" customHeight="1" hidden="1">
      <c r="A230" s="14"/>
      <c r="B230" s="14">
        <v>150101</v>
      </c>
      <c r="C230" s="14"/>
      <c r="D230" s="15" t="s">
        <v>511</v>
      </c>
      <c r="E230" s="111" t="s">
        <v>479</v>
      </c>
      <c r="F230" s="17">
        <v>147134</v>
      </c>
      <c r="G230" s="18">
        <f t="shared" si="3"/>
        <v>16.51895550994331</v>
      </c>
      <c r="H230" s="17">
        <v>122829</v>
      </c>
      <c r="I230" s="17">
        <v>122829</v>
      </c>
      <c r="J230" s="78"/>
      <c r="L230" s="78"/>
    </row>
    <row r="231" spans="1:12" s="20" customFormat="1" ht="66" customHeight="1" hidden="1">
      <c r="A231" s="14"/>
      <c r="B231" s="14">
        <v>150101</v>
      </c>
      <c r="C231" s="14"/>
      <c r="D231" s="15" t="s">
        <v>511</v>
      </c>
      <c r="E231" s="125" t="s">
        <v>456</v>
      </c>
      <c r="F231" s="17">
        <v>108613</v>
      </c>
      <c r="G231" s="18">
        <f t="shared" si="3"/>
        <v>0</v>
      </c>
      <c r="H231" s="17">
        <v>108613</v>
      </c>
      <c r="I231" s="17">
        <v>108613</v>
      </c>
      <c r="J231" s="78"/>
      <c r="L231" s="78"/>
    </row>
    <row r="232" spans="1:12" s="20" customFormat="1" ht="56.25" hidden="1">
      <c r="A232" s="14"/>
      <c r="B232" s="14">
        <v>150101</v>
      </c>
      <c r="C232" s="14"/>
      <c r="D232" s="15" t="s">
        <v>511</v>
      </c>
      <c r="E232" s="125" t="s">
        <v>457</v>
      </c>
      <c r="F232" s="17">
        <v>198316</v>
      </c>
      <c r="G232" s="18">
        <f t="shared" si="3"/>
        <v>0</v>
      </c>
      <c r="H232" s="17">
        <v>198316</v>
      </c>
      <c r="I232" s="17">
        <v>198316</v>
      </c>
      <c r="J232" s="78"/>
      <c r="L232" s="78"/>
    </row>
    <row r="233" spans="1:12" s="20" customFormat="1" ht="93.75" hidden="1">
      <c r="A233" s="14"/>
      <c r="B233" s="14">
        <v>150101</v>
      </c>
      <c r="C233" s="14"/>
      <c r="D233" s="15" t="s">
        <v>511</v>
      </c>
      <c r="E233" s="125" t="s">
        <v>458</v>
      </c>
      <c r="F233" s="17">
        <v>191593</v>
      </c>
      <c r="G233" s="18">
        <f t="shared" si="3"/>
        <v>0</v>
      </c>
      <c r="H233" s="17">
        <v>191593</v>
      </c>
      <c r="I233" s="17">
        <v>191593</v>
      </c>
      <c r="J233" s="78"/>
      <c r="L233" s="78"/>
    </row>
    <row r="234" spans="1:12" s="20" customFormat="1" ht="75" hidden="1">
      <c r="A234" s="14"/>
      <c r="B234" s="14">
        <v>150101</v>
      </c>
      <c r="C234" s="14"/>
      <c r="D234" s="15" t="s">
        <v>511</v>
      </c>
      <c r="E234" s="125" t="s">
        <v>459</v>
      </c>
      <c r="F234" s="17">
        <v>193084</v>
      </c>
      <c r="G234" s="18">
        <f t="shared" si="3"/>
        <v>0</v>
      </c>
      <c r="H234" s="17">
        <v>193084</v>
      </c>
      <c r="I234" s="17">
        <v>193084</v>
      </c>
      <c r="J234" s="78"/>
      <c r="L234" s="78"/>
    </row>
    <row r="235" spans="1:12" s="20" customFormat="1" ht="56.25" hidden="1">
      <c r="A235" s="14"/>
      <c r="B235" s="14">
        <v>150101</v>
      </c>
      <c r="C235" s="14"/>
      <c r="D235" s="15" t="s">
        <v>511</v>
      </c>
      <c r="E235" s="125" t="s">
        <v>460</v>
      </c>
      <c r="F235" s="17">
        <v>275876</v>
      </c>
      <c r="G235" s="18">
        <f t="shared" si="3"/>
        <v>0</v>
      </c>
      <c r="H235" s="17">
        <v>275876</v>
      </c>
      <c r="I235" s="17">
        <v>275876</v>
      </c>
      <c r="J235" s="78"/>
      <c r="L235" s="78"/>
    </row>
    <row r="236" spans="1:12" s="20" customFormat="1" ht="75" hidden="1">
      <c r="A236" s="14"/>
      <c r="B236" s="14">
        <v>150101</v>
      </c>
      <c r="C236" s="14"/>
      <c r="D236" s="15" t="s">
        <v>511</v>
      </c>
      <c r="E236" s="125" t="s">
        <v>421</v>
      </c>
      <c r="F236" s="17">
        <v>215230</v>
      </c>
      <c r="G236" s="18">
        <f t="shared" si="3"/>
        <v>0</v>
      </c>
      <c r="H236" s="17">
        <v>215230</v>
      </c>
      <c r="I236" s="17">
        <v>215230</v>
      </c>
      <c r="J236" s="78"/>
      <c r="L236" s="78"/>
    </row>
    <row r="237" spans="1:12" s="20" customFormat="1" ht="56.25" hidden="1">
      <c r="A237" s="14"/>
      <c r="B237" s="14">
        <v>150101</v>
      </c>
      <c r="C237" s="14"/>
      <c r="D237" s="15" t="s">
        <v>511</v>
      </c>
      <c r="E237" s="126" t="s">
        <v>461</v>
      </c>
      <c r="F237" s="17">
        <v>219013</v>
      </c>
      <c r="G237" s="18">
        <f t="shared" si="3"/>
        <v>0</v>
      </c>
      <c r="H237" s="17">
        <v>219013</v>
      </c>
      <c r="I237" s="17">
        <v>219013</v>
      </c>
      <c r="J237" s="78"/>
      <c r="L237" s="78"/>
    </row>
    <row r="238" spans="1:12" s="20" customFormat="1" ht="75" hidden="1">
      <c r="A238" s="14"/>
      <c r="B238" s="14">
        <v>150101</v>
      </c>
      <c r="C238" s="14"/>
      <c r="D238" s="15" t="s">
        <v>511</v>
      </c>
      <c r="E238" s="126" t="s">
        <v>466</v>
      </c>
      <c r="F238" s="17">
        <v>147134</v>
      </c>
      <c r="G238" s="18">
        <f t="shared" si="3"/>
        <v>0</v>
      </c>
      <c r="H238" s="17">
        <v>147134</v>
      </c>
      <c r="I238" s="17">
        <v>147134</v>
      </c>
      <c r="J238" s="78"/>
      <c r="L238" s="78"/>
    </row>
    <row r="239" spans="1:12" s="20" customFormat="1" ht="56.25" hidden="1">
      <c r="A239" s="14"/>
      <c r="B239" s="14">
        <v>150101</v>
      </c>
      <c r="C239" s="14"/>
      <c r="D239" s="15" t="s">
        <v>511</v>
      </c>
      <c r="E239" s="106" t="s">
        <v>480</v>
      </c>
      <c r="F239" s="17">
        <v>39509</v>
      </c>
      <c r="G239" s="18">
        <f t="shared" si="3"/>
        <v>0</v>
      </c>
      <c r="H239" s="17">
        <v>39509</v>
      </c>
      <c r="I239" s="17">
        <v>39509</v>
      </c>
      <c r="J239" s="78"/>
      <c r="L239" s="78"/>
    </row>
    <row r="240" spans="1:12" s="20" customFormat="1" ht="56.25" hidden="1">
      <c r="A240" s="14"/>
      <c r="B240" s="14">
        <v>150101</v>
      </c>
      <c r="C240" s="14"/>
      <c r="D240" s="15" t="s">
        <v>511</v>
      </c>
      <c r="E240" s="106" t="s">
        <v>481</v>
      </c>
      <c r="F240" s="17">
        <v>37844</v>
      </c>
      <c r="G240" s="18">
        <f t="shared" si="3"/>
        <v>19.569812916182215</v>
      </c>
      <c r="H240" s="17">
        <v>30438</v>
      </c>
      <c r="I240" s="17">
        <v>30438</v>
      </c>
      <c r="J240" s="78"/>
      <c r="L240" s="78"/>
    </row>
    <row r="241" spans="1:12" s="20" customFormat="1" ht="56.25" hidden="1">
      <c r="A241" s="14"/>
      <c r="B241" s="14">
        <v>150101</v>
      </c>
      <c r="C241" s="14"/>
      <c r="D241" s="15" t="s">
        <v>511</v>
      </c>
      <c r="E241" s="111" t="s">
        <v>247</v>
      </c>
      <c r="F241" s="17">
        <v>911047</v>
      </c>
      <c r="G241" s="18">
        <f t="shared" si="3"/>
        <v>2.5426789177726334</v>
      </c>
      <c r="H241" s="17">
        <v>887882</v>
      </c>
      <c r="I241" s="17">
        <v>887882</v>
      </c>
      <c r="J241" s="78"/>
      <c r="L241" s="78"/>
    </row>
    <row r="242" spans="1:12" s="20" customFormat="1" ht="56.25" hidden="1">
      <c r="A242" s="14"/>
      <c r="B242" s="14">
        <v>150101</v>
      </c>
      <c r="C242" s="14"/>
      <c r="D242" s="15" t="s">
        <v>511</v>
      </c>
      <c r="E242" s="111" t="s">
        <v>467</v>
      </c>
      <c r="F242" s="17">
        <v>520135</v>
      </c>
      <c r="G242" s="18">
        <f t="shared" si="3"/>
        <v>3.951089620963785</v>
      </c>
      <c r="H242" s="17">
        <v>499584</v>
      </c>
      <c r="I242" s="17">
        <v>499584</v>
      </c>
      <c r="J242" s="78"/>
      <c r="L242" s="78"/>
    </row>
    <row r="243" spans="1:12" s="20" customFormat="1" ht="75" hidden="1">
      <c r="A243" s="14"/>
      <c r="B243" s="14">
        <v>150101</v>
      </c>
      <c r="C243" s="14"/>
      <c r="D243" s="15" t="s">
        <v>511</v>
      </c>
      <c r="E243" s="126" t="s">
        <v>482</v>
      </c>
      <c r="F243" s="17">
        <v>79883</v>
      </c>
      <c r="G243" s="18">
        <f t="shared" si="3"/>
        <v>0</v>
      </c>
      <c r="H243" s="17">
        <v>79883</v>
      </c>
      <c r="I243" s="17">
        <v>79883</v>
      </c>
      <c r="J243" s="78"/>
      <c r="L243" s="78"/>
    </row>
    <row r="244" spans="1:12" s="20" customFormat="1" ht="75" hidden="1">
      <c r="A244" s="14"/>
      <c r="B244" s="14">
        <v>150101</v>
      </c>
      <c r="C244" s="14"/>
      <c r="D244" s="15" t="s">
        <v>511</v>
      </c>
      <c r="E244" s="126" t="s">
        <v>483</v>
      </c>
      <c r="F244" s="17">
        <v>36080</v>
      </c>
      <c r="G244" s="18">
        <f t="shared" si="3"/>
        <v>0</v>
      </c>
      <c r="H244" s="17">
        <v>36080</v>
      </c>
      <c r="I244" s="17">
        <v>36080</v>
      </c>
      <c r="J244" s="78"/>
      <c r="L244" s="78"/>
    </row>
    <row r="245" spans="1:12" s="20" customFormat="1" ht="56.25" hidden="1">
      <c r="A245" s="14"/>
      <c r="B245" s="14">
        <v>150101</v>
      </c>
      <c r="C245" s="14"/>
      <c r="D245" s="15" t="s">
        <v>511</v>
      </c>
      <c r="E245" s="111" t="s">
        <v>484</v>
      </c>
      <c r="F245" s="17">
        <v>17708</v>
      </c>
      <c r="G245" s="18">
        <f t="shared" si="3"/>
        <v>42.30291393720352</v>
      </c>
      <c r="H245" s="17">
        <v>10217</v>
      </c>
      <c r="I245" s="17">
        <v>10217</v>
      </c>
      <c r="J245" s="78"/>
      <c r="L245" s="78"/>
    </row>
    <row r="246" spans="1:12" s="20" customFormat="1" ht="56.25" hidden="1">
      <c r="A246" s="14"/>
      <c r="B246" s="14">
        <v>150101</v>
      </c>
      <c r="C246" s="14"/>
      <c r="D246" s="15" t="s">
        <v>511</v>
      </c>
      <c r="E246" s="111" t="s">
        <v>422</v>
      </c>
      <c r="F246" s="17">
        <v>26130</v>
      </c>
      <c r="G246" s="18">
        <f t="shared" si="3"/>
        <v>28.668197474167627</v>
      </c>
      <c r="H246" s="17">
        <v>18639</v>
      </c>
      <c r="I246" s="17">
        <v>18639</v>
      </c>
      <c r="J246" s="78"/>
      <c r="L246" s="78"/>
    </row>
    <row r="247" spans="1:12" s="20" customFormat="1" ht="75" hidden="1">
      <c r="A247" s="14"/>
      <c r="B247" s="14">
        <v>150101</v>
      </c>
      <c r="C247" s="14"/>
      <c r="D247" s="15" t="s">
        <v>511</v>
      </c>
      <c r="E247" s="128" t="s">
        <v>485</v>
      </c>
      <c r="F247" s="17">
        <v>26291</v>
      </c>
      <c r="G247" s="18">
        <f t="shared" si="3"/>
        <v>28.492640066943068</v>
      </c>
      <c r="H247" s="17">
        <v>18800</v>
      </c>
      <c r="I247" s="17">
        <v>18800</v>
      </c>
      <c r="J247" s="78"/>
      <c r="L247" s="78"/>
    </row>
    <row r="248" spans="1:12" s="20" customFormat="1" ht="75" hidden="1">
      <c r="A248" s="14"/>
      <c r="B248" s="14">
        <v>150101</v>
      </c>
      <c r="C248" s="14"/>
      <c r="D248" s="15" t="s">
        <v>511</v>
      </c>
      <c r="E248" s="128" t="s">
        <v>486</v>
      </c>
      <c r="F248" s="17">
        <v>15428</v>
      </c>
      <c r="G248" s="18">
        <f t="shared" si="3"/>
        <v>48.55457609541094</v>
      </c>
      <c r="H248" s="17">
        <v>7937</v>
      </c>
      <c r="I248" s="17">
        <v>7937</v>
      </c>
      <c r="J248" s="78"/>
      <c r="L248" s="78"/>
    </row>
    <row r="249" spans="1:12" s="20" customFormat="1" ht="75" hidden="1">
      <c r="A249" s="14"/>
      <c r="B249" s="14">
        <v>150101</v>
      </c>
      <c r="C249" s="14"/>
      <c r="D249" s="15" t="s">
        <v>511</v>
      </c>
      <c r="E249" s="128" t="s">
        <v>487</v>
      </c>
      <c r="F249" s="17">
        <v>9520</v>
      </c>
      <c r="G249" s="18">
        <f t="shared" si="3"/>
        <v>0</v>
      </c>
      <c r="H249" s="17">
        <v>9520</v>
      </c>
      <c r="I249" s="17">
        <v>9520</v>
      </c>
      <c r="J249" s="78"/>
      <c r="L249" s="78"/>
    </row>
    <row r="250" spans="1:12" s="20" customFormat="1" ht="56.25" hidden="1">
      <c r="A250" s="14"/>
      <c r="B250" s="14">
        <v>150101</v>
      </c>
      <c r="C250" s="14"/>
      <c r="D250" s="15" t="s">
        <v>511</v>
      </c>
      <c r="E250" s="128" t="s">
        <v>488</v>
      </c>
      <c r="F250" s="17">
        <v>9520</v>
      </c>
      <c r="G250" s="18">
        <f aca="true" t="shared" si="4" ref="G250:G300">100-(H250/F250)*100</f>
        <v>0</v>
      </c>
      <c r="H250" s="17">
        <v>9520</v>
      </c>
      <c r="I250" s="17">
        <v>9520</v>
      </c>
      <c r="J250" s="78"/>
      <c r="L250" s="78"/>
    </row>
    <row r="251" spans="1:12" s="20" customFormat="1" ht="46.5" customHeight="1" hidden="1">
      <c r="A251" s="14"/>
      <c r="B251" s="14">
        <v>150101</v>
      </c>
      <c r="C251" s="14"/>
      <c r="D251" s="15" t="s">
        <v>511</v>
      </c>
      <c r="E251" s="128" t="s">
        <v>489</v>
      </c>
      <c r="F251" s="17">
        <v>9520</v>
      </c>
      <c r="G251" s="18">
        <f t="shared" si="4"/>
        <v>0</v>
      </c>
      <c r="H251" s="17">
        <v>9520</v>
      </c>
      <c r="I251" s="17">
        <v>9520</v>
      </c>
      <c r="J251" s="78"/>
      <c r="L251" s="78"/>
    </row>
    <row r="252" spans="1:12" s="20" customFormat="1" ht="56.25" hidden="1">
      <c r="A252" s="14"/>
      <c r="B252" s="14">
        <v>150101</v>
      </c>
      <c r="C252" s="14"/>
      <c r="D252" s="15" t="s">
        <v>511</v>
      </c>
      <c r="E252" s="111" t="s">
        <v>490</v>
      </c>
      <c r="F252" s="17">
        <v>9520</v>
      </c>
      <c r="G252" s="18">
        <f t="shared" si="4"/>
        <v>0</v>
      </c>
      <c r="H252" s="17">
        <v>9520</v>
      </c>
      <c r="I252" s="17">
        <v>9520</v>
      </c>
      <c r="J252" s="78"/>
      <c r="L252" s="78"/>
    </row>
    <row r="253" spans="1:12" s="20" customFormat="1" ht="56.25" hidden="1">
      <c r="A253" s="14"/>
      <c r="B253" s="14">
        <v>150101</v>
      </c>
      <c r="C253" s="14"/>
      <c r="D253" s="15" t="s">
        <v>511</v>
      </c>
      <c r="E253" s="128" t="s">
        <v>491</v>
      </c>
      <c r="F253" s="17">
        <v>125555</v>
      </c>
      <c r="G253" s="18">
        <f t="shared" si="4"/>
        <v>7.827645255067509</v>
      </c>
      <c r="H253" s="85">
        <v>115727</v>
      </c>
      <c r="I253" s="85">
        <v>115727</v>
      </c>
      <c r="J253" s="78"/>
      <c r="L253" s="78"/>
    </row>
    <row r="254" spans="1:12" s="20" customFormat="1" ht="56.25" hidden="1">
      <c r="A254" s="14"/>
      <c r="B254" s="14">
        <v>150101</v>
      </c>
      <c r="C254" s="14"/>
      <c r="D254" s="15" t="s">
        <v>511</v>
      </c>
      <c r="E254" s="111" t="s">
        <v>423</v>
      </c>
      <c r="F254" s="17">
        <v>63184</v>
      </c>
      <c r="G254" s="18">
        <f t="shared" si="4"/>
        <v>0</v>
      </c>
      <c r="H254" s="17">
        <v>63184</v>
      </c>
      <c r="I254" s="85">
        <v>63184</v>
      </c>
      <c r="J254" s="78"/>
      <c r="L254" s="78"/>
    </row>
    <row r="255" spans="1:12" s="20" customFormat="1" ht="56.25" hidden="1">
      <c r="A255" s="14"/>
      <c r="B255" s="14">
        <v>150101</v>
      </c>
      <c r="C255" s="14"/>
      <c r="D255" s="15" t="s">
        <v>511</v>
      </c>
      <c r="E255" s="111" t="s">
        <v>424</v>
      </c>
      <c r="F255" s="17">
        <v>77509</v>
      </c>
      <c r="G255" s="18">
        <f t="shared" si="4"/>
        <v>0</v>
      </c>
      <c r="H255" s="17">
        <v>77509</v>
      </c>
      <c r="I255" s="85">
        <v>77509</v>
      </c>
      <c r="J255" s="78"/>
      <c r="L255" s="78"/>
    </row>
    <row r="256" spans="1:12" s="20" customFormat="1" ht="56.25" hidden="1">
      <c r="A256" s="14"/>
      <c r="B256" s="14">
        <v>150101</v>
      </c>
      <c r="C256" s="14"/>
      <c r="D256" s="15" t="s">
        <v>511</v>
      </c>
      <c r="E256" s="111" t="s">
        <v>425</v>
      </c>
      <c r="F256" s="17">
        <v>88532</v>
      </c>
      <c r="G256" s="18">
        <f t="shared" si="4"/>
        <v>6.683459088239289</v>
      </c>
      <c r="H256" s="17">
        <v>82615</v>
      </c>
      <c r="I256" s="85">
        <v>82615</v>
      </c>
      <c r="J256" s="78"/>
      <c r="L256" s="78"/>
    </row>
    <row r="257" spans="1:12" s="20" customFormat="1" ht="56.25" hidden="1">
      <c r="A257" s="14"/>
      <c r="B257" s="14">
        <v>150101</v>
      </c>
      <c r="C257" s="14"/>
      <c r="D257" s="15" t="s">
        <v>511</v>
      </c>
      <c r="E257" s="118" t="s">
        <v>426</v>
      </c>
      <c r="F257" s="17">
        <v>160274</v>
      </c>
      <c r="G257" s="18">
        <f t="shared" si="4"/>
        <v>0</v>
      </c>
      <c r="H257" s="17">
        <v>160274</v>
      </c>
      <c r="I257" s="85">
        <v>160274</v>
      </c>
      <c r="J257" s="78"/>
      <c r="L257" s="78"/>
    </row>
    <row r="258" spans="1:12" s="20" customFormat="1" ht="56.25" hidden="1">
      <c r="A258" s="14"/>
      <c r="B258" s="14">
        <v>150101</v>
      </c>
      <c r="C258" s="14"/>
      <c r="D258" s="15" t="s">
        <v>511</v>
      </c>
      <c r="E258" s="111" t="s">
        <v>492</v>
      </c>
      <c r="F258" s="17">
        <v>122141</v>
      </c>
      <c r="G258" s="18">
        <f t="shared" si="4"/>
        <v>4.648725653138584</v>
      </c>
      <c r="H258" s="85">
        <v>116463</v>
      </c>
      <c r="I258" s="85">
        <v>116463</v>
      </c>
      <c r="J258" s="78"/>
      <c r="L258" s="78"/>
    </row>
    <row r="259" spans="1:12" s="20" customFormat="1" ht="37.5" hidden="1">
      <c r="A259" s="14"/>
      <c r="B259" s="14">
        <v>150101</v>
      </c>
      <c r="C259" s="14"/>
      <c r="D259" s="15" t="s">
        <v>511</v>
      </c>
      <c r="E259" s="111" t="s">
        <v>493</v>
      </c>
      <c r="F259" s="17">
        <v>88776</v>
      </c>
      <c r="G259" s="18">
        <f t="shared" si="4"/>
        <v>7.1021447237992135</v>
      </c>
      <c r="H259" s="85">
        <v>82471</v>
      </c>
      <c r="I259" s="85">
        <v>82471</v>
      </c>
      <c r="J259" s="78"/>
      <c r="L259" s="78"/>
    </row>
    <row r="260" spans="1:12" s="20" customFormat="1" ht="37.5" hidden="1">
      <c r="A260" s="14"/>
      <c r="B260" s="14">
        <v>150101</v>
      </c>
      <c r="C260" s="14"/>
      <c r="D260" s="15" t="s">
        <v>511</v>
      </c>
      <c r="E260" s="106" t="s">
        <v>494</v>
      </c>
      <c r="F260" s="17">
        <v>56336</v>
      </c>
      <c r="G260" s="18">
        <f t="shared" si="4"/>
        <v>0</v>
      </c>
      <c r="H260" s="17">
        <v>56336</v>
      </c>
      <c r="I260" s="17">
        <v>56336</v>
      </c>
      <c r="J260" s="78"/>
      <c r="L260" s="78"/>
    </row>
    <row r="261" spans="1:12" s="20" customFormat="1" ht="37.5" hidden="1">
      <c r="A261" s="14"/>
      <c r="B261" s="14">
        <v>150101</v>
      </c>
      <c r="C261" s="14"/>
      <c r="D261" s="15" t="s">
        <v>511</v>
      </c>
      <c r="E261" s="106" t="s">
        <v>495</v>
      </c>
      <c r="F261" s="17">
        <v>105436</v>
      </c>
      <c r="G261" s="18">
        <f t="shared" si="4"/>
        <v>0</v>
      </c>
      <c r="H261" s="17">
        <v>105436</v>
      </c>
      <c r="I261" s="17">
        <v>105436</v>
      </c>
      <c r="J261" s="78"/>
      <c r="L261" s="78"/>
    </row>
    <row r="262" spans="1:12" s="20" customFormat="1" ht="56.25" hidden="1">
      <c r="A262" s="14"/>
      <c r="B262" s="14">
        <v>150101</v>
      </c>
      <c r="C262" s="14"/>
      <c r="D262" s="15" t="s">
        <v>511</v>
      </c>
      <c r="E262" s="111" t="s">
        <v>427</v>
      </c>
      <c r="F262" s="17">
        <v>149866</v>
      </c>
      <c r="G262" s="18">
        <f t="shared" si="4"/>
        <v>0</v>
      </c>
      <c r="H262" s="17">
        <v>149866</v>
      </c>
      <c r="I262" s="17">
        <v>149866</v>
      </c>
      <c r="J262" s="78"/>
      <c r="L262" s="78"/>
    </row>
    <row r="263" spans="1:12" s="20" customFormat="1" ht="56.25" hidden="1">
      <c r="A263" s="14"/>
      <c r="B263" s="14">
        <v>150101</v>
      </c>
      <c r="C263" s="14"/>
      <c r="D263" s="15" t="s">
        <v>511</v>
      </c>
      <c r="E263" s="111" t="s">
        <v>428</v>
      </c>
      <c r="F263" s="17">
        <v>148245</v>
      </c>
      <c r="G263" s="18">
        <f t="shared" si="4"/>
        <v>0</v>
      </c>
      <c r="H263" s="17">
        <v>148245</v>
      </c>
      <c r="I263" s="85">
        <v>148245</v>
      </c>
      <c r="J263" s="78"/>
      <c r="L263" s="78"/>
    </row>
    <row r="264" spans="1:12" s="20" customFormat="1" ht="56.25" hidden="1">
      <c r="A264" s="14"/>
      <c r="B264" s="14">
        <v>150101</v>
      </c>
      <c r="C264" s="14"/>
      <c r="D264" s="15" t="s">
        <v>511</v>
      </c>
      <c r="E264" s="111" t="s">
        <v>496</v>
      </c>
      <c r="F264" s="17">
        <v>167460</v>
      </c>
      <c r="G264" s="18">
        <f t="shared" si="4"/>
        <v>0</v>
      </c>
      <c r="H264" s="17">
        <v>167460</v>
      </c>
      <c r="I264" s="85">
        <v>167460</v>
      </c>
      <c r="J264" s="78"/>
      <c r="L264" s="78"/>
    </row>
    <row r="265" spans="1:12" s="20" customFormat="1" ht="51.75" customHeight="1" hidden="1">
      <c r="A265" s="14"/>
      <c r="B265" s="14">
        <v>150101</v>
      </c>
      <c r="C265" s="14"/>
      <c r="D265" s="15" t="s">
        <v>511</v>
      </c>
      <c r="E265" s="111" t="s">
        <v>497</v>
      </c>
      <c r="F265" s="17">
        <v>67493</v>
      </c>
      <c r="G265" s="18">
        <f t="shared" si="4"/>
        <v>0</v>
      </c>
      <c r="H265" s="17">
        <v>67493</v>
      </c>
      <c r="I265" s="17">
        <v>67493</v>
      </c>
      <c r="J265" s="78"/>
      <c r="L265" s="78"/>
    </row>
    <row r="266" spans="1:12" s="20" customFormat="1" ht="37.5" hidden="1">
      <c r="A266" s="14"/>
      <c r="B266" s="14">
        <v>150101</v>
      </c>
      <c r="C266" s="14"/>
      <c r="D266" s="15" t="s">
        <v>511</v>
      </c>
      <c r="E266" s="111" t="s">
        <v>468</v>
      </c>
      <c r="F266" s="17">
        <v>200557</v>
      </c>
      <c r="G266" s="18">
        <f t="shared" si="4"/>
        <v>0</v>
      </c>
      <c r="H266" s="17">
        <v>200557</v>
      </c>
      <c r="I266" s="17">
        <v>200557</v>
      </c>
      <c r="J266" s="78"/>
      <c r="L266" s="78"/>
    </row>
    <row r="267" spans="1:12" s="20" customFormat="1" ht="131.25" hidden="1">
      <c r="A267" s="14"/>
      <c r="B267" s="14">
        <v>150101</v>
      </c>
      <c r="C267" s="14"/>
      <c r="D267" s="15" t="s">
        <v>511</v>
      </c>
      <c r="E267" s="106" t="s">
        <v>429</v>
      </c>
      <c r="F267" s="17">
        <v>1159978</v>
      </c>
      <c r="G267" s="18">
        <f t="shared" si="4"/>
        <v>0</v>
      </c>
      <c r="H267" s="17">
        <v>1159978</v>
      </c>
      <c r="I267" s="17">
        <v>1159978</v>
      </c>
      <c r="J267" s="78"/>
      <c r="L267" s="78"/>
    </row>
    <row r="268" spans="1:12" s="20" customFormat="1" ht="37.5" hidden="1">
      <c r="A268" s="14"/>
      <c r="B268" s="14">
        <v>150101</v>
      </c>
      <c r="C268" s="14"/>
      <c r="D268" s="15" t="s">
        <v>511</v>
      </c>
      <c r="E268" s="106" t="s">
        <v>463</v>
      </c>
      <c r="F268" s="17">
        <v>91400</v>
      </c>
      <c r="G268" s="18">
        <f t="shared" si="4"/>
        <v>0</v>
      </c>
      <c r="H268" s="17">
        <v>91400</v>
      </c>
      <c r="I268" s="17">
        <v>91400</v>
      </c>
      <c r="J268" s="78"/>
      <c r="L268" s="78"/>
    </row>
    <row r="269" spans="1:12" s="20" customFormat="1" ht="37.5" hidden="1">
      <c r="A269" s="14"/>
      <c r="B269" s="14">
        <v>150101</v>
      </c>
      <c r="C269" s="14"/>
      <c r="D269" s="15" t="s">
        <v>511</v>
      </c>
      <c r="E269" s="106" t="s">
        <v>464</v>
      </c>
      <c r="F269" s="17">
        <v>112998</v>
      </c>
      <c r="G269" s="18">
        <f t="shared" si="4"/>
        <v>0</v>
      </c>
      <c r="H269" s="17">
        <v>112998</v>
      </c>
      <c r="I269" s="17">
        <v>112998</v>
      </c>
      <c r="J269" s="78"/>
      <c r="L269" s="78"/>
    </row>
    <row r="270" spans="1:12" s="20" customFormat="1" ht="40.5" customHeight="1" hidden="1">
      <c r="A270" s="14"/>
      <c r="B270" s="14">
        <v>150101</v>
      </c>
      <c r="C270" s="14"/>
      <c r="D270" s="15" t="s">
        <v>511</v>
      </c>
      <c r="E270" s="106" t="s">
        <v>465</v>
      </c>
      <c r="F270" s="17">
        <v>119569</v>
      </c>
      <c r="G270" s="18">
        <f t="shared" si="4"/>
        <v>0</v>
      </c>
      <c r="H270" s="17">
        <v>119569</v>
      </c>
      <c r="I270" s="17">
        <v>119569</v>
      </c>
      <c r="J270" s="78"/>
      <c r="L270" s="78"/>
    </row>
    <row r="271" spans="1:12" s="20" customFormat="1" ht="75" hidden="1">
      <c r="A271" s="14"/>
      <c r="B271" s="14">
        <v>150101</v>
      </c>
      <c r="C271" s="14"/>
      <c r="D271" s="15" t="s">
        <v>511</v>
      </c>
      <c r="E271" s="111" t="s">
        <v>430</v>
      </c>
      <c r="F271" s="17">
        <v>985867</v>
      </c>
      <c r="G271" s="18">
        <f t="shared" si="4"/>
        <v>0</v>
      </c>
      <c r="H271" s="17">
        <v>985867</v>
      </c>
      <c r="I271" s="17">
        <v>907895</v>
      </c>
      <c r="J271" s="78"/>
      <c r="L271" s="78"/>
    </row>
    <row r="272" spans="1:12" s="20" customFormat="1" ht="37.5" hidden="1">
      <c r="A272" s="14"/>
      <c r="B272" s="14">
        <v>150101</v>
      </c>
      <c r="C272" s="14"/>
      <c r="D272" s="15" t="s">
        <v>511</v>
      </c>
      <c r="E272" s="111" t="s">
        <v>434</v>
      </c>
      <c r="F272" s="17">
        <v>119099</v>
      </c>
      <c r="G272" s="18">
        <f t="shared" si="4"/>
        <v>14.273839410910256</v>
      </c>
      <c r="H272" s="17">
        <v>102099</v>
      </c>
      <c r="I272" s="17">
        <v>91960</v>
      </c>
      <c r="J272" s="78"/>
      <c r="L272" s="78"/>
    </row>
    <row r="273" spans="1:12" s="20" customFormat="1" ht="56.25" hidden="1">
      <c r="A273" s="14"/>
      <c r="B273" s="14">
        <v>150101</v>
      </c>
      <c r="C273" s="14"/>
      <c r="D273" s="15" t="s">
        <v>511</v>
      </c>
      <c r="E273" s="111" t="s">
        <v>435</v>
      </c>
      <c r="F273" s="17">
        <v>255769</v>
      </c>
      <c r="G273" s="18">
        <f t="shared" si="4"/>
        <v>0</v>
      </c>
      <c r="H273" s="17">
        <v>255769</v>
      </c>
      <c r="I273" s="17">
        <v>245845</v>
      </c>
      <c r="J273" s="78"/>
      <c r="L273" s="78"/>
    </row>
    <row r="274" spans="1:12" s="20" customFormat="1" ht="72.75" customHeight="1" hidden="1">
      <c r="A274" s="14"/>
      <c r="B274" s="14">
        <v>150101</v>
      </c>
      <c r="C274" s="14"/>
      <c r="D274" s="15" t="s">
        <v>511</v>
      </c>
      <c r="E274" s="111" t="s">
        <v>436</v>
      </c>
      <c r="F274" s="17">
        <v>488200</v>
      </c>
      <c r="G274" s="18">
        <f t="shared" si="4"/>
        <v>31.825481360098323</v>
      </c>
      <c r="H274" s="17">
        <v>332828</v>
      </c>
      <c r="I274" s="17">
        <v>260852</v>
      </c>
      <c r="J274" s="78"/>
      <c r="L274" s="78"/>
    </row>
    <row r="275" spans="1:12" s="20" customFormat="1" ht="63.75" customHeight="1" hidden="1">
      <c r="A275" s="14"/>
      <c r="B275" s="14">
        <v>150101</v>
      </c>
      <c r="C275" s="14"/>
      <c r="D275" s="15" t="s">
        <v>511</v>
      </c>
      <c r="E275" s="111" t="s">
        <v>498</v>
      </c>
      <c r="F275" s="17">
        <v>171145</v>
      </c>
      <c r="G275" s="18">
        <f t="shared" si="4"/>
        <v>0</v>
      </c>
      <c r="H275" s="17">
        <v>171145</v>
      </c>
      <c r="I275" s="17">
        <v>11308</v>
      </c>
      <c r="J275" s="78"/>
      <c r="L275" s="78"/>
    </row>
    <row r="276" spans="1:12" s="20" customFormat="1" ht="63" customHeight="1" hidden="1">
      <c r="A276" s="14"/>
      <c r="B276" s="14">
        <v>150101</v>
      </c>
      <c r="C276" s="14"/>
      <c r="D276" s="15" t="s">
        <v>511</v>
      </c>
      <c r="E276" s="111" t="s">
        <v>437</v>
      </c>
      <c r="F276" s="17">
        <v>118223</v>
      </c>
      <c r="G276" s="18">
        <f t="shared" si="4"/>
        <v>22.618272248208896</v>
      </c>
      <c r="H276" s="17">
        <v>91483</v>
      </c>
      <c r="I276" s="17">
        <v>69506</v>
      </c>
      <c r="J276" s="78"/>
      <c r="L276" s="78"/>
    </row>
    <row r="277" spans="1:12" s="20" customFormat="1" ht="60.75" customHeight="1" hidden="1">
      <c r="A277" s="14"/>
      <c r="B277" s="14">
        <v>150101</v>
      </c>
      <c r="C277" s="14"/>
      <c r="D277" s="15" t="s">
        <v>511</v>
      </c>
      <c r="E277" s="111" t="s">
        <v>438</v>
      </c>
      <c r="F277" s="17">
        <v>394561</v>
      </c>
      <c r="G277" s="18">
        <f t="shared" si="4"/>
        <v>18.922295918755268</v>
      </c>
      <c r="H277" s="17">
        <v>319901</v>
      </c>
      <c r="I277" s="17">
        <v>258682</v>
      </c>
      <c r="J277" s="78"/>
      <c r="L277" s="78"/>
    </row>
    <row r="278" spans="1:12" s="20" customFormat="1" ht="50.25" customHeight="1" hidden="1">
      <c r="A278" s="14"/>
      <c r="B278" s="14">
        <v>150101</v>
      </c>
      <c r="C278" s="14"/>
      <c r="D278" s="15" t="s">
        <v>511</v>
      </c>
      <c r="E278" s="111" t="s">
        <v>439</v>
      </c>
      <c r="F278" s="17">
        <v>194639</v>
      </c>
      <c r="G278" s="18">
        <f t="shared" si="4"/>
        <v>20.02270870688814</v>
      </c>
      <c r="H278" s="17">
        <v>155667</v>
      </c>
      <c r="I278" s="17">
        <v>125093</v>
      </c>
      <c r="J278" s="78"/>
      <c r="L278" s="78"/>
    </row>
    <row r="279" spans="1:12" s="20" customFormat="1" ht="42" customHeight="1" hidden="1">
      <c r="A279" s="14"/>
      <c r="B279" s="14">
        <v>150101</v>
      </c>
      <c r="C279" s="14"/>
      <c r="D279" s="15" t="s">
        <v>511</v>
      </c>
      <c r="E279" s="111" t="s">
        <v>440</v>
      </c>
      <c r="F279" s="17">
        <v>140302</v>
      </c>
      <c r="G279" s="18">
        <f t="shared" si="4"/>
        <v>19.413123120126585</v>
      </c>
      <c r="H279" s="17">
        <v>113065</v>
      </c>
      <c r="I279" s="17">
        <v>95106</v>
      </c>
      <c r="J279" s="78"/>
      <c r="L279" s="78"/>
    </row>
    <row r="280" spans="1:12" s="20" customFormat="1" ht="51.75" customHeight="1" hidden="1">
      <c r="A280" s="14"/>
      <c r="B280" s="14">
        <v>150101</v>
      </c>
      <c r="C280" s="14"/>
      <c r="D280" s="15" t="s">
        <v>511</v>
      </c>
      <c r="E280" s="128" t="s">
        <v>469</v>
      </c>
      <c r="F280" s="17">
        <v>1500000</v>
      </c>
      <c r="G280" s="18">
        <f t="shared" si="4"/>
        <v>0</v>
      </c>
      <c r="H280" s="17">
        <v>1500000</v>
      </c>
      <c r="I280" s="17">
        <v>1500000</v>
      </c>
      <c r="J280" s="78"/>
      <c r="L280" s="78"/>
    </row>
    <row r="281" spans="1:12" s="20" customFormat="1" ht="37.5" hidden="1">
      <c r="A281" s="14"/>
      <c r="B281" s="14">
        <v>150101</v>
      </c>
      <c r="C281" s="14"/>
      <c r="D281" s="15" t="s">
        <v>511</v>
      </c>
      <c r="E281" s="128" t="s">
        <v>470</v>
      </c>
      <c r="F281" s="17">
        <f>179000+227000</f>
        <v>406000</v>
      </c>
      <c r="G281" s="18">
        <f t="shared" si="4"/>
        <v>0</v>
      </c>
      <c r="H281" s="17">
        <f>179000+227000</f>
        <v>406000</v>
      </c>
      <c r="I281" s="17">
        <v>179000</v>
      </c>
      <c r="J281" s="78"/>
      <c r="L281" s="78"/>
    </row>
    <row r="282" spans="1:12" s="20" customFormat="1" ht="58.5" customHeight="1" hidden="1">
      <c r="A282" s="14"/>
      <c r="B282" s="14">
        <v>150101</v>
      </c>
      <c r="C282" s="14"/>
      <c r="D282" s="15" t="s">
        <v>511</v>
      </c>
      <c r="E282" s="124" t="s">
        <v>471</v>
      </c>
      <c r="F282" s="17">
        <v>2125000</v>
      </c>
      <c r="G282" s="18">
        <f t="shared" si="4"/>
        <v>0</v>
      </c>
      <c r="H282" s="17">
        <v>2125000</v>
      </c>
      <c r="I282" s="17">
        <v>2125000</v>
      </c>
      <c r="J282" s="78"/>
      <c r="L282" s="78"/>
    </row>
    <row r="283" spans="1:12" s="20" customFormat="1" ht="46.5" customHeight="1" hidden="1">
      <c r="A283" s="14"/>
      <c r="B283" s="14">
        <v>150101</v>
      </c>
      <c r="C283" s="14"/>
      <c r="D283" s="15" t="s">
        <v>511</v>
      </c>
      <c r="E283" s="124" t="s">
        <v>329</v>
      </c>
      <c r="F283" s="17">
        <v>100000</v>
      </c>
      <c r="G283" s="18">
        <f t="shared" si="4"/>
        <v>0</v>
      </c>
      <c r="H283" s="17">
        <v>100000</v>
      </c>
      <c r="I283" s="17">
        <v>100000</v>
      </c>
      <c r="J283" s="78"/>
      <c r="L283" s="78"/>
    </row>
    <row r="284" spans="1:12" s="20" customFormat="1" ht="34.5" customHeight="1" hidden="1">
      <c r="A284" s="14"/>
      <c r="B284" s="14">
        <v>150101</v>
      </c>
      <c r="C284" s="14"/>
      <c r="D284" s="15" t="s">
        <v>511</v>
      </c>
      <c r="E284" s="124" t="s">
        <v>472</v>
      </c>
      <c r="F284" s="17">
        <v>13492940</v>
      </c>
      <c r="G284" s="18">
        <f t="shared" si="4"/>
        <v>21.412501649010522</v>
      </c>
      <c r="H284" s="17">
        <v>10603764</v>
      </c>
      <c r="I284" s="17">
        <v>500000</v>
      </c>
      <c r="J284" s="78"/>
      <c r="L284" s="78"/>
    </row>
    <row r="285" spans="1:12" s="20" customFormat="1" ht="61.5" customHeight="1" hidden="1">
      <c r="A285" s="14"/>
      <c r="B285" s="14">
        <v>150101</v>
      </c>
      <c r="C285" s="14"/>
      <c r="D285" s="15" t="s">
        <v>511</v>
      </c>
      <c r="E285" s="111" t="s">
        <v>473</v>
      </c>
      <c r="F285" s="17">
        <v>8000</v>
      </c>
      <c r="G285" s="18">
        <f t="shared" si="4"/>
        <v>0</v>
      </c>
      <c r="H285" s="17">
        <v>8000</v>
      </c>
      <c r="I285" s="17">
        <v>8000</v>
      </c>
      <c r="J285" s="78"/>
      <c r="L285" s="78"/>
    </row>
    <row r="286" spans="1:12" s="20" customFormat="1" ht="37.5" hidden="1">
      <c r="A286" s="14"/>
      <c r="B286" s="14">
        <v>150101</v>
      </c>
      <c r="C286" s="14"/>
      <c r="D286" s="15" t="s">
        <v>511</v>
      </c>
      <c r="E286" s="118" t="s">
        <v>44</v>
      </c>
      <c r="F286" s="17">
        <v>1338449</v>
      </c>
      <c r="G286" s="18">
        <f t="shared" si="4"/>
        <v>0</v>
      </c>
      <c r="H286" s="17">
        <v>1338449</v>
      </c>
      <c r="I286" s="17">
        <v>1338449</v>
      </c>
      <c r="J286" s="78"/>
      <c r="L286" s="78"/>
    </row>
    <row r="287" spans="1:12" s="20" customFormat="1" ht="37.5" hidden="1">
      <c r="A287" s="14"/>
      <c r="B287" s="14"/>
      <c r="C287" s="14"/>
      <c r="D287" s="15"/>
      <c r="E287" s="118" t="s">
        <v>45</v>
      </c>
      <c r="F287" s="17">
        <v>1996795</v>
      </c>
      <c r="G287" s="18">
        <f t="shared" si="4"/>
        <v>0</v>
      </c>
      <c r="H287" s="17">
        <v>1996795</v>
      </c>
      <c r="I287" s="17">
        <v>1996795</v>
      </c>
      <c r="J287" s="78"/>
      <c r="L287" s="78"/>
    </row>
    <row r="288" spans="1:12" s="20" customFormat="1" ht="37.5" hidden="1">
      <c r="A288" s="14"/>
      <c r="B288" s="14"/>
      <c r="C288" s="14"/>
      <c r="D288" s="15"/>
      <c r="E288" s="118" t="s">
        <v>46</v>
      </c>
      <c r="F288" s="17">
        <v>391778</v>
      </c>
      <c r="G288" s="18">
        <f t="shared" si="4"/>
        <v>0</v>
      </c>
      <c r="H288" s="17">
        <v>391778</v>
      </c>
      <c r="I288" s="17">
        <v>391778</v>
      </c>
      <c r="J288" s="78"/>
      <c r="L288" s="78"/>
    </row>
    <row r="289" spans="1:12" s="20" customFormat="1" ht="37.5" hidden="1">
      <c r="A289" s="14"/>
      <c r="B289" s="14"/>
      <c r="C289" s="14"/>
      <c r="D289" s="15"/>
      <c r="E289" s="118" t="s">
        <v>47</v>
      </c>
      <c r="F289" s="17">
        <v>732964</v>
      </c>
      <c r="G289" s="18">
        <f t="shared" si="4"/>
        <v>0</v>
      </c>
      <c r="H289" s="17">
        <v>732964</v>
      </c>
      <c r="I289" s="17">
        <v>732964</v>
      </c>
      <c r="J289" s="78"/>
      <c r="L289" s="78"/>
    </row>
    <row r="290" spans="1:12" s="20" customFormat="1" ht="47.25" customHeight="1" hidden="1">
      <c r="A290" s="14"/>
      <c r="B290" s="14"/>
      <c r="C290" s="14"/>
      <c r="D290" s="15"/>
      <c r="E290" s="118" t="s">
        <v>48</v>
      </c>
      <c r="F290" s="17">
        <v>581107</v>
      </c>
      <c r="G290" s="18">
        <f t="shared" si="4"/>
        <v>0</v>
      </c>
      <c r="H290" s="17">
        <v>581107</v>
      </c>
      <c r="I290" s="17">
        <v>581107</v>
      </c>
      <c r="J290" s="78"/>
      <c r="L290" s="78"/>
    </row>
    <row r="291" spans="1:12" s="20" customFormat="1" ht="47.25" customHeight="1" hidden="1">
      <c r="A291" s="14"/>
      <c r="B291" s="14"/>
      <c r="C291" s="14"/>
      <c r="D291" s="15"/>
      <c r="E291" s="118" t="s">
        <v>49</v>
      </c>
      <c r="F291" s="17">
        <v>2811902</v>
      </c>
      <c r="G291" s="18">
        <f t="shared" si="4"/>
        <v>0</v>
      </c>
      <c r="H291" s="17">
        <v>2811902</v>
      </c>
      <c r="I291" s="17">
        <v>2811902</v>
      </c>
      <c r="J291" s="78"/>
      <c r="L291" s="78"/>
    </row>
    <row r="292" spans="1:12" s="20" customFormat="1" ht="49.5" customHeight="1" hidden="1">
      <c r="A292" s="129"/>
      <c r="B292" s="129">
        <v>150101</v>
      </c>
      <c r="C292" s="129"/>
      <c r="D292" s="130" t="s">
        <v>511</v>
      </c>
      <c r="E292" s="131" t="s">
        <v>441</v>
      </c>
      <c r="F292" s="132">
        <v>535371</v>
      </c>
      <c r="G292" s="133">
        <f t="shared" si="4"/>
        <v>58.65054326812621</v>
      </c>
      <c r="H292" s="132">
        <f>SUM(H293:H300)</f>
        <v>221373</v>
      </c>
      <c r="I292" s="132">
        <f>SUM(I293:I300)</f>
        <v>8828</v>
      </c>
      <c r="J292" s="78"/>
      <c r="L292" s="78"/>
    </row>
    <row r="293" spans="1:12" s="20" customFormat="1" ht="18.75" hidden="1">
      <c r="A293" s="14"/>
      <c r="B293" s="14">
        <v>150101</v>
      </c>
      <c r="C293" s="14"/>
      <c r="D293" s="15" t="s">
        <v>511</v>
      </c>
      <c r="E293" s="106" t="s">
        <v>9</v>
      </c>
      <c r="F293" s="17">
        <v>68963</v>
      </c>
      <c r="G293" s="18">
        <f t="shared" si="4"/>
        <v>97.52330960080043</v>
      </c>
      <c r="H293" s="17">
        <v>1708</v>
      </c>
      <c r="I293" s="17">
        <v>410</v>
      </c>
      <c r="J293" s="78"/>
      <c r="L293" s="78"/>
    </row>
    <row r="294" spans="1:12" s="20" customFormat="1" ht="18.75" hidden="1">
      <c r="A294" s="14"/>
      <c r="B294" s="14">
        <v>150101</v>
      </c>
      <c r="C294" s="14"/>
      <c r="D294" s="15" t="s">
        <v>511</v>
      </c>
      <c r="E294" s="106" t="s">
        <v>11</v>
      </c>
      <c r="F294" s="17">
        <v>45522</v>
      </c>
      <c r="G294" s="18">
        <f t="shared" si="4"/>
        <v>13.195817406968061</v>
      </c>
      <c r="H294" s="17">
        <v>39515</v>
      </c>
      <c r="I294" s="17">
        <v>571</v>
      </c>
      <c r="J294" s="78"/>
      <c r="L294" s="78"/>
    </row>
    <row r="295" spans="1:12" s="20" customFormat="1" ht="18.75" hidden="1">
      <c r="A295" s="14"/>
      <c r="B295" s="14">
        <v>150101</v>
      </c>
      <c r="C295" s="14"/>
      <c r="D295" s="15" t="s">
        <v>511</v>
      </c>
      <c r="E295" s="106" t="s">
        <v>37</v>
      </c>
      <c r="F295" s="17">
        <v>74519</v>
      </c>
      <c r="G295" s="18">
        <f t="shared" si="4"/>
        <v>78.582643352702</v>
      </c>
      <c r="H295" s="17">
        <v>15960</v>
      </c>
      <c r="I295" s="17">
        <v>1558</v>
      </c>
      <c r="J295" s="78"/>
      <c r="L295" s="78"/>
    </row>
    <row r="296" spans="1:12" s="20" customFormat="1" ht="18.75" hidden="1">
      <c r="A296" s="14"/>
      <c r="B296" s="14">
        <v>150101</v>
      </c>
      <c r="C296" s="14"/>
      <c r="D296" s="15" t="s">
        <v>511</v>
      </c>
      <c r="E296" s="106" t="s">
        <v>310</v>
      </c>
      <c r="F296" s="17">
        <v>75228</v>
      </c>
      <c r="G296" s="18">
        <f t="shared" si="4"/>
        <v>85.83506141330355</v>
      </c>
      <c r="H296" s="17">
        <v>10656</v>
      </c>
      <c r="I296" s="17">
        <v>1692</v>
      </c>
      <c r="J296" s="78"/>
      <c r="L296" s="78"/>
    </row>
    <row r="297" spans="1:12" s="20" customFormat="1" ht="21" customHeight="1" hidden="1">
      <c r="A297" s="14"/>
      <c r="B297" s="14">
        <v>150101</v>
      </c>
      <c r="C297" s="14"/>
      <c r="D297" s="15" t="s">
        <v>511</v>
      </c>
      <c r="E297" s="106" t="s">
        <v>8</v>
      </c>
      <c r="F297" s="17">
        <v>49702</v>
      </c>
      <c r="G297" s="18">
        <f t="shared" si="4"/>
        <v>77.02104543076737</v>
      </c>
      <c r="H297" s="17">
        <v>11421</v>
      </c>
      <c r="I297" s="17">
        <v>1536</v>
      </c>
      <c r="J297" s="96"/>
      <c r="L297" s="78"/>
    </row>
    <row r="298" spans="1:12" s="20" customFormat="1" ht="21" customHeight="1" hidden="1">
      <c r="A298" s="14"/>
      <c r="B298" s="14">
        <v>150101</v>
      </c>
      <c r="C298" s="14"/>
      <c r="D298" s="15" t="s">
        <v>511</v>
      </c>
      <c r="E298" s="106" t="s">
        <v>7</v>
      </c>
      <c r="F298" s="17">
        <v>80346</v>
      </c>
      <c r="G298" s="18">
        <f t="shared" si="4"/>
        <v>8.716053070470224</v>
      </c>
      <c r="H298" s="17">
        <v>73343</v>
      </c>
      <c r="I298" s="19">
        <v>699</v>
      </c>
      <c r="J298" s="78"/>
      <c r="L298" s="78"/>
    </row>
    <row r="299" spans="1:12" s="20" customFormat="1" ht="18.75" hidden="1">
      <c r="A299" s="14"/>
      <c r="B299" s="14">
        <v>150101</v>
      </c>
      <c r="C299" s="14"/>
      <c r="D299" s="15" t="s">
        <v>511</v>
      </c>
      <c r="E299" s="106" t="s">
        <v>10</v>
      </c>
      <c r="F299" s="17">
        <v>65863</v>
      </c>
      <c r="G299" s="18">
        <f t="shared" si="4"/>
        <v>10.632676920273894</v>
      </c>
      <c r="H299" s="17">
        <v>58860</v>
      </c>
      <c r="I299" s="85">
        <v>656</v>
      </c>
      <c r="J299" s="78"/>
      <c r="L299" s="78"/>
    </row>
    <row r="300" spans="1:12" s="20" customFormat="1" ht="18.75" hidden="1">
      <c r="A300" s="14"/>
      <c r="B300" s="14">
        <v>150101</v>
      </c>
      <c r="C300" s="14"/>
      <c r="D300" s="15" t="s">
        <v>511</v>
      </c>
      <c r="E300" s="106" t="s">
        <v>298</v>
      </c>
      <c r="F300" s="17">
        <v>75228</v>
      </c>
      <c r="G300" s="18">
        <f t="shared" si="4"/>
        <v>86.82671345775509</v>
      </c>
      <c r="H300" s="17">
        <v>9910</v>
      </c>
      <c r="I300" s="85">
        <v>1706</v>
      </c>
      <c r="J300" s="78"/>
      <c r="L300" s="78"/>
    </row>
    <row r="301" spans="1:12" s="20" customFormat="1" ht="37.5" hidden="1">
      <c r="A301" s="14"/>
      <c r="B301" s="14">
        <v>150101</v>
      </c>
      <c r="C301" s="14"/>
      <c r="D301" s="15" t="s">
        <v>511</v>
      </c>
      <c r="E301" s="145" t="s">
        <v>43</v>
      </c>
      <c r="F301" s="17"/>
      <c r="G301" s="18"/>
      <c r="H301" s="17"/>
      <c r="I301" s="85"/>
      <c r="J301" s="78"/>
      <c r="L301" s="78"/>
    </row>
    <row r="302" spans="1:12" s="20" customFormat="1" ht="18.75" hidden="1">
      <c r="A302" s="14"/>
      <c r="B302" s="14">
        <v>150101</v>
      </c>
      <c r="C302" s="14"/>
      <c r="D302" s="15" t="s">
        <v>511</v>
      </c>
      <c r="E302" s="146"/>
      <c r="F302" s="17"/>
      <c r="G302" s="18"/>
      <c r="H302" s="17"/>
      <c r="I302" s="85"/>
      <c r="J302" s="78"/>
      <c r="L302" s="78"/>
    </row>
    <row r="303" spans="1:12" s="20" customFormat="1" ht="18.75" hidden="1">
      <c r="A303" s="14"/>
      <c r="B303" s="14">
        <v>150101</v>
      </c>
      <c r="C303" s="14"/>
      <c r="D303" s="15" t="s">
        <v>511</v>
      </c>
      <c r="E303" s="146"/>
      <c r="F303" s="17"/>
      <c r="G303" s="18"/>
      <c r="H303" s="17"/>
      <c r="I303" s="85"/>
      <c r="J303" s="78"/>
      <c r="L303" s="78"/>
    </row>
    <row r="304" spans="1:12" s="20" customFormat="1" ht="18.75" hidden="1">
      <c r="A304" s="14"/>
      <c r="B304" s="14">
        <v>150101</v>
      </c>
      <c r="C304" s="14"/>
      <c r="D304" s="15" t="s">
        <v>511</v>
      </c>
      <c r="E304" s="146"/>
      <c r="F304" s="17"/>
      <c r="G304" s="18"/>
      <c r="H304" s="17"/>
      <c r="I304" s="85"/>
      <c r="J304" s="78"/>
      <c r="L304" s="78"/>
    </row>
    <row r="305" spans="1:12" s="20" customFormat="1" ht="18.75" hidden="1">
      <c r="A305" s="14"/>
      <c r="B305" s="14">
        <v>150101</v>
      </c>
      <c r="C305" s="14"/>
      <c r="D305" s="15" t="s">
        <v>511</v>
      </c>
      <c r="E305" s="146"/>
      <c r="F305" s="17"/>
      <c r="G305" s="18"/>
      <c r="H305" s="17"/>
      <c r="I305" s="85"/>
      <c r="J305" s="78"/>
      <c r="L305" s="78"/>
    </row>
    <row r="306" spans="1:12" s="20" customFormat="1" ht="18.75" hidden="1">
      <c r="A306" s="14"/>
      <c r="B306" s="14">
        <v>150101</v>
      </c>
      <c r="C306" s="14"/>
      <c r="D306" s="15" t="s">
        <v>511</v>
      </c>
      <c r="E306" s="146"/>
      <c r="F306" s="17"/>
      <c r="G306" s="18"/>
      <c r="H306" s="17"/>
      <c r="I306" s="85"/>
      <c r="J306" s="78"/>
      <c r="L306" s="78"/>
    </row>
    <row r="307" spans="1:12" s="20" customFormat="1" ht="30.75" hidden="1">
      <c r="A307" s="14"/>
      <c r="B307" s="14" t="s">
        <v>249</v>
      </c>
      <c r="C307" s="14"/>
      <c r="D307" s="15" t="s">
        <v>250</v>
      </c>
      <c r="E307" s="15" t="s">
        <v>250</v>
      </c>
      <c r="F307" s="17"/>
      <c r="G307" s="18"/>
      <c r="H307" s="17"/>
      <c r="I307" s="19">
        <v>3870326</v>
      </c>
      <c r="J307" s="78"/>
      <c r="L307" s="78"/>
    </row>
    <row r="308" spans="1:12" s="20" customFormat="1" ht="45.75" hidden="1">
      <c r="A308" s="14"/>
      <c r="B308" s="14">
        <v>170703</v>
      </c>
      <c r="C308" s="14"/>
      <c r="D308" s="15" t="s">
        <v>501</v>
      </c>
      <c r="E308" s="15" t="s">
        <v>501</v>
      </c>
      <c r="F308" s="17"/>
      <c r="G308" s="18"/>
      <c r="H308" s="17"/>
      <c r="I308" s="19">
        <f>12691007-37630+14498164-1000000</f>
        <v>26151541</v>
      </c>
      <c r="J308" s="78"/>
      <c r="L308" s="78"/>
    </row>
    <row r="309" spans="1:12" s="20" customFormat="1" ht="45.75">
      <c r="A309" s="14"/>
      <c r="B309" s="14">
        <v>180409</v>
      </c>
      <c r="C309" s="14"/>
      <c r="D309" s="15" t="s">
        <v>253</v>
      </c>
      <c r="E309" s="15" t="s">
        <v>268</v>
      </c>
      <c r="F309" s="17"/>
      <c r="G309" s="18"/>
      <c r="H309" s="17"/>
      <c r="I309" s="17">
        <f>SUM(I311:I316)</f>
        <v>29210456</v>
      </c>
      <c r="J309" s="78"/>
      <c r="L309" s="78"/>
    </row>
    <row r="310" spans="1:12" s="20" customFormat="1" ht="15.75">
      <c r="A310" s="14"/>
      <c r="B310" s="14"/>
      <c r="C310" s="14"/>
      <c r="D310" s="15"/>
      <c r="E310" s="15" t="s">
        <v>309</v>
      </c>
      <c r="F310" s="17"/>
      <c r="G310" s="18"/>
      <c r="H310" s="17"/>
      <c r="I310" s="19"/>
      <c r="J310" s="78"/>
      <c r="L310" s="78"/>
    </row>
    <row r="311" spans="1:9" s="103" customFormat="1" ht="99.75" customHeight="1">
      <c r="A311" s="101"/>
      <c r="B311" s="101"/>
      <c r="C311" s="101"/>
      <c r="D311" s="102"/>
      <c r="E311" s="134" t="s">
        <v>39</v>
      </c>
      <c r="F311" s="85"/>
      <c r="G311" s="87"/>
      <c r="H311" s="85"/>
      <c r="I311" s="86">
        <f>4351000+112800</f>
        <v>4463800</v>
      </c>
    </row>
    <row r="312" spans="1:9" s="103" customFormat="1" ht="167.25" customHeight="1">
      <c r="A312" s="101"/>
      <c r="B312" s="101"/>
      <c r="C312" s="101"/>
      <c r="D312" s="102"/>
      <c r="E312" s="136" t="s">
        <v>5</v>
      </c>
      <c r="F312" s="85"/>
      <c r="G312" s="87"/>
      <c r="H312" s="85"/>
      <c r="I312" s="86">
        <v>12552456</v>
      </c>
    </row>
    <row r="313" spans="1:9" s="103" customFormat="1" ht="93.75" customHeight="1">
      <c r="A313" s="101"/>
      <c r="B313" s="101"/>
      <c r="C313" s="101"/>
      <c r="D313" s="102"/>
      <c r="E313" s="134" t="s">
        <v>40</v>
      </c>
      <c r="F313" s="85"/>
      <c r="G313" s="87"/>
      <c r="H313" s="85"/>
      <c r="I313" s="86">
        <f>1586560+41200</f>
        <v>1627760</v>
      </c>
    </row>
    <row r="314" spans="1:9" s="103" customFormat="1" ht="102.75" customHeight="1">
      <c r="A314" s="101"/>
      <c r="B314" s="101"/>
      <c r="C314" s="101"/>
      <c r="D314" s="102"/>
      <c r="E314" s="134" t="s">
        <v>327</v>
      </c>
      <c r="F314" s="85"/>
      <c r="G314" s="87"/>
      <c r="H314" s="85"/>
      <c r="I314" s="85">
        <v>5875640</v>
      </c>
    </row>
    <row r="315" spans="1:9" s="103" customFormat="1" ht="88.5" customHeight="1">
      <c r="A315" s="101"/>
      <c r="B315" s="101"/>
      <c r="C315" s="101"/>
      <c r="D315" s="102"/>
      <c r="E315" s="135" t="s">
        <v>328</v>
      </c>
      <c r="F315" s="85"/>
      <c r="G315" s="87"/>
      <c r="H315" s="85"/>
      <c r="I315" s="85">
        <v>4690800</v>
      </c>
    </row>
    <row r="316" spans="1:12" s="20" customFormat="1" ht="56.25" customHeight="1" hidden="1">
      <c r="A316" s="14"/>
      <c r="B316" s="14"/>
      <c r="C316" s="14"/>
      <c r="D316" s="15"/>
      <c r="E316" s="141" t="s">
        <v>367</v>
      </c>
      <c r="F316" s="85"/>
      <c r="G316" s="87"/>
      <c r="H316" s="85"/>
      <c r="I316" s="86">
        <v>0</v>
      </c>
      <c r="J316" s="78"/>
      <c r="L316" s="78"/>
    </row>
    <row r="317" spans="1:12" s="20" customFormat="1" ht="33" customHeight="1" hidden="1">
      <c r="A317" s="14"/>
      <c r="B317" s="14"/>
      <c r="C317" s="14"/>
      <c r="D317" s="15"/>
      <c r="E317" s="95" t="s">
        <v>374</v>
      </c>
      <c r="F317" s="17">
        <v>0</v>
      </c>
      <c r="G317" s="18"/>
      <c r="H317" s="17"/>
      <c r="I317" s="19">
        <v>0</v>
      </c>
      <c r="J317" s="78"/>
      <c r="L317" s="78"/>
    </row>
    <row r="318" spans="1:12" s="20" customFormat="1" ht="30" hidden="1">
      <c r="A318" s="14"/>
      <c r="B318" s="14"/>
      <c r="C318" s="14"/>
      <c r="D318" s="15"/>
      <c r="E318" s="16" t="s">
        <v>20</v>
      </c>
      <c r="F318" s="17"/>
      <c r="G318" s="18"/>
      <c r="H318" s="17"/>
      <c r="I318" s="19"/>
      <c r="J318" s="78"/>
      <c r="L318" s="78"/>
    </row>
    <row r="319" spans="1:12" s="20" customFormat="1" ht="45" hidden="1">
      <c r="A319" s="14"/>
      <c r="B319" s="14"/>
      <c r="C319" s="14"/>
      <c r="D319" s="15"/>
      <c r="E319" s="21" t="s">
        <v>304</v>
      </c>
      <c r="F319" s="17"/>
      <c r="G319" s="18"/>
      <c r="H319" s="17"/>
      <c r="I319" s="19"/>
      <c r="J319" s="78"/>
      <c r="L319" s="78"/>
    </row>
    <row r="320" spans="1:12" s="20" customFormat="1" ht="45" hidden="1">
      <c r="A320" s="14"/>
      <c r="B320" s="14"/>
      <c r="C320" s="14"/>
      <c r="D320" s="15"/>
      <c r="E320" s="21" t="s">
        <v>308</v>
      </c>
      <c r="F320" s="17"/>
      <c r="G320" s="18"/>
      <c r="H320" s="17"/>
      <c r="I320" s="19"/>
      <c r="J320" s="78"/>
      <c r="L320" s="78"/>
    </row>
    <row r="321" spans="1:12" s="20" customFormat="1" ht="15.75" hidden="1">
      <c r="A321" s="14"/>
      <c r="B321" s="14"/>
      <c r="C321" s="14"/>
      <c r="D321" s="92"/>
      <c r="E321" s="97" t="s">
        <v>346</v>
      </c>
      <c r="F321" s="17"/>
      <c r="G321" s="18"/>
      <c r="H321" s="17"/>
      <c r="I321" s="19"/>
      <c r="J321" s="78"/>
      <c r="L321" s="78"/>
    </row>
    <row r="322" spans="1:12" s="26" customFormat="1" ht="47.25" hidden="1">
      <c r="A322" s="23"/>
      <c r="B322" s="23">
        <v>41</v>
      </c>
      <c r="C322" s="23"/>
      <c r="D322" s="24" t="s">
        <v>254</v>
      </c>
      <c r="E322" s="24" t="s">
        <v>259</v>
      </c>
      <c r="F322" s="25"/>
      <c r="G322" s="25"/>
      <c r="H322" s="25"/>
      <c r="I322" s="28">
        <f>I323</f>
        <v>0</v>
      </c>
      <c r="J322" s="77"/>
      <c r="L322" s="77"/>
    </row>
    <row r="323" spans="1:12" s="26" customFormat="1" ht="15.75" hidden="1">
      <c r="A323" s="14"/>
      <c r="B323" s="14" t="s">
        <v>508</v>
      </c>
      <c r="C323" s="14"/>
      <c r="D323" s="15" t="s">
        <v>509</v>
      </c>
      <c r="E323" s="60"/>
      <c r="F323" s="28"/>
      <c r="G323" s="28"/>
      <c r="H323" s="28"/>
      <c r="I323" s="28"/>
      <c r="J323" s="77"/>
      <c r="L323" s="77"/>
    </row>
    <row r="324" spans="1:12" s="20" customFormat="1" ht="47.25" hidden="1">
      <c r="A324" s="23"/>
      <c r="B324" s="23">
        <v>43</v>
      </c>
      <c r="C324" s="23"/>
      <c r="D324" s="24" t="s">
        <v>260</v>
      </c>
      <c r="E324" s="24"/>
      <c r="F324" s="24"/>
      <c r="G324" s="24"/>
      <c r="H324" s="24"/>
      <c r="I324" s="61">
        <f>SUM(I325:I328)</f>
        <v>0</v>
      </c>
      <c r="J324" s="78"/>
      <c r="L324" s="78"/>
    </row>
    <row r="325" spans="1:12" s="20" customFormat="1" ht="15.75" hidden="1">
      <c r="A325" s="14"/>
      <c r="B325" s="14" t="s">
        <v>508</v>
      </c>
      <c r="C325" s="14"/>
      <c r="D325" s="15" t="s">
        <v>509</v>
      </c>
      <c r="E325" s="15"/>
      <c r="F325" s="17"/>
      <c r="G325" s="18"/>
      <c r="H325" s="17"/>
      <c r="I325" s="19"/>
      <c r="J325" s="78"/>
      <c r="L325" s="78"/>
    </row>
    <row r="326" spans="1:12" s="20" customFormat="1" ht="31.5" hidden="1">
      <c r="A326" s="62"/>
      <c r="B326" s="62" t="s">
        <v>240</v>
      </c>
      <c r="C326" s="62"/>
      <c r="D326" s="63" t="s">
        <v>241</v>
      </c>
      <c r="E326" s="15"/>
      <c r="F326" s="17"/>
      <c r="G326" s="18"/>
      <c r="H326" s="17"/>
      <c r="I326" s="19"/>
      <c r="J326" s="78"/>
      <c r="L326" s="78"/>
    </row>
    <row r="327" spans="1:12" s="20" customFormat="1" ht="15.75" hidden="1">
      <c r="A327" s="62"/>
      <c r="B327" s="62" t="s">
        <v>261</v>
      </c>
      <c r="C327" s="62"/>
      <c r="D327" s="63" t="s">
        <v>242</v>
      </c>
      <c r="E327" s="15"/>
      <c r="F327" s="17"/>
      <c r="G327" s="18"/>
      <c r="H327" s="17"/>
      <c r="I327" s="19"/>
      <c r="J327" s="78"/>
      <c r="L327" s="78"/>
    </row>
    <row r="328" spans="1:12" s="20" customFormat="1" ht="15.75" hidden="1">
      <c r="A328" s="14"/>
      <c r="B328" s="14" t="s">
        <v>243</v>
      </c>
      <c r="C328" s="14"/>
      <c r="D328" s="15" t="s">
        <v>244</v>
      </c>
      <c r="E328" s="15"/>
      <c r="F328" s="17"/>
      <c r="G328" s="18"/>
      <c r="H328" s="17"/>
      <c r="I328" s="19"/>
      <c r="J328" s="78"/>
      <c r="L328" s="78"/>
    </row>
    <row r="329" spans="1:12" s="26" customFormat="1" ht="31.5" hidden="1">
      <c r="A329" s="23"/>
      <c r="B329" s="23" t="s">
        <v>262</v>
      </c>
      <c r="C329" s="23"/>
      <c r="D329" s="24" t="s">
        <v>263</v>
      </c>
      <c r="E329" s="24"/>
      <c r="F329" s="25"/>
      <c r="G329" s="27"/>
      <c r="H329" s="25"/>
      <c r="I329" s="25">
        <f>I330</f>
        <v>0</v>
      </c>
      <c r="J329" s="75"/>
      <c r="L329" s="77"/>
    </row>
    <row r="330" spans="1:12" s="20" customFormat="1" ht="15.75" hidden="1">
      <c r="A330" s="14"/>
      <c r="B330" s="14" t="s">
        <v>508</v>
      </c>
      <c r="C330" s="14"/>
      <c r="D330" s="15" t="s">
        <v>509</v>
      </c>
      <c r="E330" s="15" t="s">
        <v>510</v>
      </c>
      <c r="F330" s="17"/>
      <c r="G330" s="18"/>
      <c r="H330" s="17"/>
      <c r="I330" s="19"/>
      <c r="J330" s="78"/>
      <c r="L330" s="78"/>
    </row>
    <row r="331" spans="1:12" s="20" customFormat="1" ht="15.75" hidden="1">
      <c r="A331" s="14"/>
      <c r="B331" s="14"/>
      <c r="C331" s="14"/>
      <c r="D331" s="15"/>
      <c r="E331" s="15" t="s">
        <v>513</v>
      </c>
      <c r="F331" s="17"/>
      <c r="G331" s="18"/>
      <c r="H331" s="17"/>
      <c r="I331" s="19"/>
      <c r="J331" s="78"/>
      <c r="L331" s="78"/>
    </row>
    <row r="332" spans="1:12" s="20" customFormat="1" ht="15.75" hidden="1">
      <c r="A332" s="14"/>
      <c r="B332" s="14">
        <v>200700</v>
      </c>
      <c r="C332" s="14"/>
      <c r="D332" s="15" t="s">
        <v>364</v>
      </c>
      <c r="E332" s="15" t="s">
        <v>510</v>
      </c>
      <c r="F332" s="17"/>
      <c r="G332" s="87"/>
      <c r="H332" s="17"/>
      <c r="I332" s="19">
        <f>'[1]Місто'!$O$285</f>
        <v>3823526</v>
      </c>
      <c r="J332" s="78"/>
      <c r="L332" s="78"/>
    </row>
    <row r="333" spans="1:12" s="20" customFormat="1" ht="31.5" hidden="1">
      <c r="A333" s="23"/>
      <c r="B333" s="23" t="s">
        <v>332</v>
      </c>
      <c r="C333" s="23"/>
      <c r="D333" s="24" t="s">
        <v>333</v>
      </c>
      <c r="E333" s="24"/>
      <c r="F333" s="25"/>
      <c r="G333" s="27"/>
      <c r="H333" s="25"/>
      <c r="I333" s="25">
        <f>I337+I334+I335</f>
        <v>1175290</v>
      </c>
      <c r="J333" s="81">
        <f>'[1]Місто'!$O$309-I333</f>
        <v>38000</v>
      </c>
      <c r="K333" s="59"/>
      <c r="L333" s="81"/>
    </row>
    <row r="334" spans="1:12" s="20" customFormat="1" ht="15.75" hidden="1">
      <c r="A334" s="14"/>
      <c r="B334" s="14" t="s">
        <v>508</v>
      </c>
      <c r="C334" s="14"/>
      <c r="D334" s="15" t="s">
        <v>509</v>
      </c>
      <c r="E334" s="15" t="s">
        <v>510</v>
      </c>
      <c r="F334" s="17"/>
      <c r="G334" s="18"/>
      <c r="H334" s="17"/>
      <c r="I334" s="19"/>
      <c r="J334" s="78"/>
      <c r="L334" s="78"/>
    </row>
    <row r="335" spans="1:12" s="20" customFormat="1" ht="30.75" hidden="1">
      <c r="A335" s="14"/>
      <c r="B335" s="14">
        <v>150202</v>
      </c>
      <c r="C335" s="14"/>
      <c r="D335" s="15" t="s">
        <v>21</v>
      </c>
      <c r="E335" s="15" t="s">
        <v>22</v>
      </c>
      <c r="F335" s="17"/>
      <c r="G335" s="18"/>
      <c r="H335" s="17"/>
      <c r="I335" s="19">
        <v>887560</v>
      </c>
      <c r="J335" s="78"/>
      <c r="L335" s="78"/>
    </row>
    <row r="336" spans="1:12" s="20" customFormat="1" ht="15.75" hidden="1">
      <c r="A336" s="14"/>
      <c r="B336" s="14"/>
      <c r="C336" s="14"/>
      <c r="D336" s="15"/>
      <c r="E336" s="15" t="s">
        <v>513</v>
      </c>
      <c r="F336" s="17"/>
      <c r="G336" s="18"/>
      <c r="H336" s="17"/>
      <c r="I336" s="40"/>
      <c r="J336" s="78"/>
      <c r="L336" s="78"/>
    </row>
    <row r="337" spans="1:12" s="20" customFormat="1" ht="15.75" hidden="1">
      <c r="A337" s="14"/>
      <c r="B337" s="14" t="s">
        <v>243</v>
      </c>
      <c r="C337" s="14"/>
      <c r="D337" s="15" t="s">
        <v>244</v>
      </c>
      <c r="E337" s="15" t="s">
        <v>420</v>
      </c>
      <c r="F337" s="17"/>
      <c r="G337" s="18"/>
      <c r="H337" s="17"/>
      <c r="I337" s="40">
        <f>34000+253730</f>
        <v>287730</v>
      </c>
      <c r="J337" s="78"/>
      <c r="L337" s="78"/>
    </row>
    <row r="338" spans="1:12" s="20" customFormat="1" ht="15.75" hidden="1">
      <c r="A338" s="14"/>
      <c r="B338" s="14"/>
      <c r="C338" s="14"/>
      <c r="D338" s="15"/>
      <c r="E338" s="15" t="s">
        <v>513</v>
      </c>
      <c r="F338" s="17"/>
      <c r="G338" s="18"/>
      <c r="H338" s="17"/>
      <c r="I338" s="40"/>
      <c r="J338" s="78"/>
      <c r="L338" s="78"/>
    </row>
    <row r="339" spans="1:12" s="20" customFormat="1" ht="31.5" hidden="1">
      <c r="A339" s="23"/>
      <c r="B339" s="23" t="s">
        <v>264</v>
      </c>
      <c r="C339" s="23"/>
      <c r="D339" s="64" t="s">
        <v>265</v>
      </c>
      <c r="E339" s="64"/>
      <c r="F339" s="64"/>
      <c r="G339" s="64"/>
      <c r="H339" s="64"/>
      <c r="I339" s="90">
        <f>I340</f>
        <v>0</v>
      </c>
      <c r="J339" s="81"/>
      <c r="L339" s="78"/>
    </row>
    <row r="340" spans="1:12" s="20" customFormat="1" ht="15.75" hidden="1">
      <c r="A340" s="14"/>
      <c r="B340" s="14" t="s">
        <v>508</v>
      </c>
      <c r="C340" s="14"/>
      <c r="D340" s="15" t="s">
        <v>509</v>
      </c>
      <c r="E340" s="15" t="s">
        <v>510</v>
      </c>
      <c r="F340" s="17"/>
      <c r="G340" s="18"/>
      <c r="H340" s="17"/>
      <c r="I340" s="19"/>
      <c r="J340" s="78"/>
      <c r="L340" s="78"/>
    </row>
    <row r="341" spans="1:12" s="20" customFormat="1" ht="15.75" hidden="1">
      <c r="A341" s="14"/>
      <c r="B341" s="14"/>
      <c r="C341" s="14"/>
      <c r="D341" s="15"/>
      <c r="E341" s="15" t="s">
        <v>513</v>
      </c>
      <c r="F341" s="17"/>
      <c r="G341" s="18"/>
      <c r="H341" s="17"/>
      <c r="I341" s="19"/>
      <c r="J341" s="78"/>
      <c r="L341" s="78"/>
    </row>
    <row r="342" spans="1:12" s="20" customFormat="1" ht="31.5" hidden="1">
      <c r="A342" s="23"/>
      <c r="B342" s="23">
        <v>60</v>
      </c>
      <c r="C342" s="23"/>
      <c r="D342" s="64" t="s">
        <v>14</v>
      </c>
      <c r="E342" s="64"/>
      <c r="F342" s="25">
        <f>F344+F345+F346+F347+F348+F349+F350+F351+F352+F353</f>
        <v>69505953</v>
      </c>
      <c r="G342" s="25"/>
      <c r="H342" s="25">
        <f>H344+H345+H346+H347+H348+H349+H350+H351+H352+H353</f>
        <v>61312507</v>
      </c>
      <c r="I342" s="25">
        <f>I344+I345+I346+I347+I348+I349+I350+I351+I352+I353</f>
        <v>11428474</v>
      </c>
      <c r="J342" s="81">
        <f>'[1]Місто'!$O$328-I342</f>
        <v>-149166</v>
      </c>
      <c r="L342" s="78"/>
    </row>
    <row r="343" spans="1:12" s="20" customFormat="1" ht="15.75" hidden="1">
      <c r="A343" s="14"/>
      <c r="B343" s="14" t="s">
        <v>508</v>
      </c>
      <c r="C343" s="14"/>
      <c r="D343" s="15" t="s">
        <v>509</v>
      </c>
      <c r="E343" s="15" t="s">
        <v>510</v>
      </c>
      <c r="F343" s="17"/>
      <c r="G343" s="18"/>
      <c r="H343" s="17"/>
      <c r="I343" s="19"/>
      <c r="J343" s="78"/>
      <c r="L343" s="78"/>
    </row>
    <row r="344" spans="1:12" s="20" customFormat="1" ht="30.75" hidden="1">
      <c r="A344" s="14"/>
      <c r="B344" s="14">
        <v>200700</v>
      </c>
      <c r="C344" s="14"/>
      <c r="D344" s="15" t="s">
        <v>364</v>
      </c>
      <c r="E344" s="15" t="s">
        <v>355</v>
      </c>
      <c r="F344" s="19">
        <v>12057823</v>
      </c>
      <c r="G344" s="87">
        <f aca="true" t="shared" si="5" ref="G344:G353">100-(H344/F344)*100</f>
        <v>0.5688754926988082</v>
      </c>
      <c r="H344" s="17">
        <v>11989229</v>
      </c>
      <c r="I344" s="19">
        <v>3000000</v>
      </c>
      <c r="J344" s="78"/>
      <c r="L344" s="78"/>
    </row>
    <row r="345" spans="1:12" s="20" customFormat="1" ht="45.75" hidden="1">
      <c r="A345" s="14"/>
      <c r="B345" s="14">
        <v>200700</v>
      </c>
      <c r="C345" s="14"/>
      <c r="D345" s="15" t="s">
        <v>364</v>
      </c>
      <c r="E345" s="15" t="s">
        <v>356</v>
      </c>
      <c r="F345" s="19">
        <v>10055240</v>
      </c>
      <c r="G345" s="87">
        <f t="shared" si="5"/>
        <v>60.33761501465902</v>
      </c>
      <c r="H345" s="19">
        <v>3988148</v>
      </c>
      <c r="I345" s="19">
        <v>2300000</v>
      </c>
      <c r="J345" s="78"/>
      <c r="L345" s="78"/>
    </row>
    <row r="346" spans="1:12" s="20" customFormat="1" ht="45.75" hidden="1">
      <c r="A346" s="14"/>
      <c r="B346" s="14">
        <v>200700</v>
      </c>
      <c r="C346" s="14"/>
      <c r="D346" s="15" t="s">
        <v>364</v>
      </c>
      <c r="E346" s="15" t="s">
        <v>357</v>
      </c>
      <c r="F346" s="17">
        <v>12260502</v>
      </c>
      <c r="G346" s="87">
        <f t="shared" si="5"/>
        <v>0</v>
      </c>
      <c r="H346" s="17">
        <v>12260502</v>
      </c>
      <c r="I346" s="19">
        <v>1500000</v>
      </c>
      <c r="J346" s="78"/>
      <c r="L346" s="78"/>
    </row>
    <row r="347" spans="1:12" s="20" customFormat="1" ht="45.75" hidden="1">
      <c r="A347" s="14"/>
      <c r="B347" s="14">
        <v>200700</v>
      </c>
      <c r="C347" s="14"/>
      <c r="D347" s="15" t="s">
        <v>364</v>
      </c>
      <c r="E347" s="15" t="s">
        <v>358</v>
      </c>
      <c r="F347" s="17">
        <v>23980000</v>
      </c>
      <c r="G347" s="87">
        <f t="shared" si="5"/>
        <v>0</v>
      </c>
      <c r="H347" s="17">
        <v>23980000</v>
      </c>
      <c r="I347" s="19">
        <v>1500000</v>
      </c>
      <c r="J347" s="78"/>
      <c r="L347" s="78"/>
    </row>
    <row r="348" spans="1:12" s="20" customFormat="1" ht="60.75" hidden="1">
      <c r="A348" s="14"/>
      <c r="B348" s="14">
        <v>200700</v>
      </c>
      <c r="C348" s="14"/>
      <c r="D348" s="15" t="s">
        <v>364</v>
      </c>
      <c r="E348" s="15" t="s">
        <v>359</v>
      </c>
      <c r="F348" s="17">
        <v>5131557</v>
      </c>
      <c r="G348" s="87">
        <f t="shared" si="5"/>
        <v>6.828336896579344</v>
      </c>
      <c r="H348" s="17">
        <v>4781157</v>
      </c>
      <c r="I348" s="19">
        <v>1500000</v>
      </c>
      <c r="J348" s="78"/>
      <c r="L348" s="78"/>
    </row>
    <row r="349" spans="1:12" s="20" customFormat="1" ht="45.75" hidden="1">
      <c r="A349" s="14"/>
      <c r="B349" s="14">
        <v>200700</v>
      </c>
      <c r="C349" s="14"/>
      <c r="D349" s="15" t="s">
        <v>364</v>
      </c>
      <c r="E349" s="15" t="s">
        <v>360</v>
      </c>
      <c r="F349" s="19">
        <v>1064000</v>
      </c>
      <c r="G349" s="87">
        <f t="shared" si="5"/>
        <v>0</v>
      </c>
      <c r="H349" s="19">
        <v>1064000</v>
      </c>
      <c r="I349" s="19">
        <v>942000</v>
      </c>
      <c r="J349" s="78"/>
      <c r="L349" s="78"/>
    </row>
    <row r="350" spans="1:12" s="20" customFormat="1" ht="30.75" hidden="1">
      <c r="A350" s="14"/>
      <c r="B350" s="14">
        <v>200700</v>
      </c>
      <c r="C350" s="14"/>
      <c r="D350" s="15" t="s">
        <v>364</v>
      </c>
      <c r="E350" s="15" t="s">
        <v>330</v>
      </c>
      <c r="F350" s="19">
        <v>4693146</v>
      </c>
      <c r="G350" s="87">
        <f t="shared" si="5"/>
        <v>36.379861184800134</v>
      </c>
      <c r="H350" s="19">
        <v>2985786</v>
      </c>
      <c r="I350" s="19">
        <v>422789</v>
      </c>
      <c r="J350" s="78"/>
      <c r="L350" s="78"/>
    </row>
    <row r="351" spans="1:12" s="20" customFormat="1" ht="45.75" hidden="1">
      <c r="A351" s="14"/>
      <c r="B351" s="14">
        <v>200700</v>
      </c>
      <c r="C351" s="14"/>
      <c r="D351" s="15" t="s">
        <v>364</v>
      </c>
      <c r="E351" s="15" t="s">
        <v>361</v>
      </c>
      <c r="F351" s="19">
        <v>98641</v>
      </c>
      <c r="G351" s="87">
        <f t="shared" si="5"/>
        <v>0</v>
      </c>
      <c r="H351" s="19">
        <v>98641</v>
      </c>
      <c r="I351" s="19">
        <v>98641</v>
      </c>
      <c r="J351" s="78"/>
      <c r="L351" s="78"/>
    </row>
    <row r="352" spans="1:12" s="20" customFormat="1" ht="45.75" hidden="1">
      <c r="A352" s="14"/>
      <c r="B352" s="14">
        <v>200700</v>
      </c>
      <c r="C352" s="14"/>
      <c r="D352" s="15" t="s">
        <v>364</v>
      </c>
      <c r="E352" s="15" t="s">
        <v>362</v>
      </c>
      <c r="F352" s="19">
        <v>84651</v>
      </c>
      <c r="G352" s="87">
        <f t="shared" si="5"/>
        <v>0</v>
      </c>
      <c r="H352" s="19">
        <v>84651</v>
      </c>
      <c r="I352" s="19">
        <v>84651</v>
      </c>
      <c r="J352" s="78"/>
      <c r="L352" s="78"/>
    </row>
    <row r="353" spans="1:12" s="20" customFormat="1" ht="45.75" hidden="1">
      <c r="A353" s="14"/>
      <c r="B353" s="14">
        <v>200700</v>
      </c>
      <c r="C353" s="14"/>
      <c r="D353" s="15" t="s">
        <v>364</v>
      </c>
      <c r="E353" s="15" t="s">
        <v>363</v>
      </c>
      <c r="F353" s="19">
        <v>80393</v>
      </c>
      <c r="G353" s="87">
        <f t="shared" si="5"/>
        <v>0</v>
      </c>
      <c r="H353" s="19">
        <v>80393</v>
      </c>
      <c r="I353" s="19">
        <v>80393</v>
      </c>
      <c r="J353" s="78"/>
      <c r="L353" s="78"/>
    </row>
    <row r="354" spans="1:12" s="20" customFormat="1" ht="15.75" hidden="1">
      <c r="A354" s="14"/>
      <c r="B354" s="14"/>
      <c r="C354" s="14"/>
      <c r="D354" s="15"/>
      <c r="E354" s="15"/>
      <c r="F354" s="17"/>
      <c r="G354" s="18"/>
      <c r="H354" s="17"/>
      <c r="I354" s="19"/>
      <c r="J354" s="78"/>
      <c r="L354" s="78"/>
    </row>
    <row r="355" spans="1:12" s="20" customFormat="1" ht="15.75" hidden="1">
      <c r="A355" s="14"/>
      <c r="B355" s="14"/>
      <c r="C355" s="14"/>
      <c r="D355" s="15"/>
      <c r="E355" s="15"/>
      <c r="F355" s="17"/>
      <c r="G355" s="18"/>
      <c r="H355" s="17"/>
      <c r="I355" s="19"/>
      <c r="J355" s="78"/>
      <c r="L355" s="78"/>
    </row>
    <row r="356" spans="1:12" s="20" customFormat="1" ht="15.75" hidden="1">
      <c r="A356" s="14"/>
      <c r="B356" s="14"/>
      <c r="C356" s="14"/>
      <c r="D356" s="15"/>
      <c r="E356" s="15"/>
      <c r="F356" s="17"/>
      <c r="G356" s="18"/>
      <c r="H356" s="17"/>
      <c r="I356" s="19"/>
      <c r="J356" s="78"/>
      <c r="L356" s="78"/>
    </row>
    <row r="357" spans="1:12" s="20" customFormat="1" ht="30.75" hidden="1">
      <c r="A357" s="14"/>
      <c r="B357" s="14">
        <v>150101</v>
      </c>
      <c r="C357" s="14"/>
      <c r="D357" s="15" t="s">
        <v>354</v>
      </c>
      <c r="E357" s="92"/>
      <c r="F357" s="17"/>
      <c r="G357" s="18"/>
      <c r="H357" s="17"/>
      <c r="I357" s="19"/>
      <c r="J357" s="78"/>
      <c r="L357" s="78"/>
    </row>
    <row r="358" spans="1:12" s="20" customFormat="1" ht="15.75" hidden="1">
      <c r="A358" s="14"/>
      <c r="B358" s="14"/>
      <c r="C358" s="14"/>
      <c r="D358" s="15"/>
      <c r="E358" s="92"/>
      <c r="F358" s="17"/>
      <c r="G358" s="18"/>
      <c r="H358" s="17"/>
      <c r="I358" s="19"/>
      <c r="J358" s="78"/>
      <c r="L358" s="78"/>
    </row>
    <row r="359" spans="1:12" s="26" customFormat="1" ht="47.25">
      <c r="A359" s="23"/>
      <c r="B359" s="23">
        <v>65</v>
      </c>
      <c r="C359" s="23"/>
      <c r="D359" s="24" t="s">
        <v>266</v>
      </c>
      <c r="E359" s="24"/>
      <c r="F359" s="25"/>
      <c r="G359" s="25"/>
      <c r="H359" s="25"/>
      <c r="I359" s="25">
        <f>I371</f>
        <v>25824480</v>
      </c>
      <c r="J359" s="75">
        <f>'[1]Місто'!$O$344-I359</f>
        <v>29034211</v>
      </c>
      <c r="K359" s="34"/>
      <c r="L359" s="75"/>
    </row>
    <row r="360" spans="1:12" s="20" customFormat="1" ht="15.75" hidden="1">
      <c r="A360" s="14"/>
      <c r="B360" s="14" t="s">
        <v>508</v>
      </c>
      <c r="C360" s="14"/>
      <c r="D360" s="15" t="s">
        <v>509</v>
      </c>
      <c r="E360" s="15" t="s">
        <v>510</v>
      </c>
      <c r="F360" s="17"/>
      <c r="G360" s="18"/>
      <c r="H360" s="17"/>
      <c r="I360" s="19">
        <v>6986</v>
      </c>
      <c r="J360" s="78"/>
      <c r="L360" s="78"/>
    </row>
    <row r="361" spans="1:12" s="20" customFormat="1" ht="15.75" hidden="1">
      <c r="A361" s="14"/>
      <c r="B361" s="14" t="s">
        <v>243</v>
      </c>
      <c r="C361" s="14"/>
      <c r="D361" s="15" t="s">
        <v>244</v>
      </c>
      <c r="E361" s="15" t="s">
        <v>510</v>
      </c>
      <c r="F361" s="17"/>
      <c r="G361" s="18"/>
      <c r="H361" s="17"/>
      <c r="I361" s="19"/>
      <c r="J361" s="78"/>
      <c r="L361" s="78"/>
    </row>
    <row r="362" spans="1:12" s="20" customFormat="1" ht="56.25" hidden="1">
      <c r="A362" s="14"/>
      <c r="B362" s="14">
        <v>150101</v>
      </c>
      <c r="C362" s="14"/>
      <c r="D362" s="15" t="s">
        <v>511</v>
      </c>
      <c r="E362" s="111" t="s">
        <v>474</v>
      </c>
      <c r="F362" s="19">
        <v>2355141</v>
      </c>
      <c r="G362" s="18">
        <f>100-(H362/F362)*100</f>
        <v>29.279775605791755</v>
      </c>
      <c r="H362" s="19">
        <v>1665561</v>
      </c>
      <c r="I362" s="19">
        <v>1665561</v>
      </c>
      <c r="J362" s="78"/>
      <c r="L362" s="78"/>
    </row>
    <row r="363" spans="1:12" s="20" customFormat="1" ht="18.75" hidden="1">
      <c r="A363" s="14"/>
      <c r="B363" s="14">
        <v>150101</v>
      </c>
      <c r="C363" s="14"/>
      <c r="D363" s="15" t="s">
        <v>511</v>
      </c>
      <c r="E363" s="118" t="s">
        <v>442</v>
      </c>
      <c r="F363" s="86">
        <v>600000</v>
      </c>
      <c r="G363" s="87">
        <f>100-(H363/F363)*100</f>
        <v>30.06316666666666</v>
      </c>
      <c r="H363" s="86">
        <v>419621</v>
      </c>
      <c r="I363" s="86">
        <v>419621</v>
      </c>
      <c r="J363" s="78"/>
      <c r="L363" s="78"/>
    </row>
    <row r="364" spans="1:12" s="20" customFormat="1" ht="18.75" hidden="1">
      <c r="A364" s="14"/>
      <c r="B364" s="14">
        <v>150101</v>
      </c>
      <c r="C364" s="14"/>
      <c r="D364" s="15" t="s">
        <v>511</v>
      </c>
      <c r="E364" s="118" t="s">
        <v>443</v>
      </c>
      <c r="F364" s="17">
        <v>406452</v>
      </c>
      <c r="G364" s="18">
        <f>100-(H364/F364)*100</f>
        <v>33.671872693454574</v>
      </c>
      <c r="H364" s="17">
        <v>269592</v>
      </c>
      <c r="I364" s="19">
        <v>4415</v>
      </c>
      <c r="J364" s="78"/>
      <c r="L364" s="78"/>
    </row>
    <row r="365" spans="1:12" s="20" customFormat="1" ht="124.5" customHeight="1" hidden="1">
      <c r="A365" s="14"/>
      <c r="B365" s="14">
        <v>150101</v>
      </c>
      <c r="C365" s="14"/>
      <c r="D365" s="15" t="s">
        <v>511</v>
      </c>
      <c r="E365" s="111" t="s">
        <v>476</v>
      </c>
      <c r="F365" s="17">
        <v>542921</v>
      </c>
      <c r="G365" s="18">
        <f>100-(H365/F365)*100</f>
        <v>0</v>
      </c>
      <c r="H365" s="17">
        <v>542921</v>
      </c>
      <c r="I365" s="19"/>
      <c r="J365" s="78"/>
      <c r="L365" s="78"/>
    </row>
    <row r="366" spans="1:12" s="20" customFormat="1" ht="37.5" hidden="1">
      <c r="A366" s="14"/>
      <c r="B366" s="14">
        <v>150101</v>
      </c>
      <c r="C366" s="14"/>
      <c r="D366" s="15" t="s">
        <v>511</v>
      </c>
      <c r="E366" s="111" t="s">
        <v>475</v>
      </c>
      <c r="F366" s="19">
        <v>300000</v>
      </c>
      <c r="G366" s="19">
        <f>100-(H366/F366)*100</f>
        <v>0</v>
      </c>
      <c r="H366" s="19">
        <v>300000</v>
      </c>
      <c r="I366" s="19">
        <v>300000</v>
      </c>
      <c r="J366" s="78"/>
      <c r="L366" s="78"/>
    </row>
    <row r="367" spans="1:12" s="20" customFormat="1" ht="18.75" hidden="1">
      <c r="A367" s="14"/>
      <c r="B367" s="14"/>
      <c r="C367" s="14"/>
      <c r="D367" s="15"/>
      <c r="E367" s="140"/>
      <c r="F367" s="19"/>
      <c r="G367" s="19"/>
      <c r="H367" s="19"/>
      <c r="I367" s="19"/>
      <c r="J367" s="78"/>
      <c r="L367" s="78"/>
    </row>
    <row r="368" spans="1:12" s="20" customFormat="1" ht="18.75" hidden="1">
      <c r="A368" s="14"/>
      <c r="B368" s="14"/>
      <c r="C368" s="14"/>
      <c r="D368" s="15"/>
      <c r="E368" s="140"/>
      <c r="F368" s="19"/>
      <c r="G368" s="19"/>
      <c r="H368" s="19"/>
      <c r="I368" s="19"/>
      <c r="J368" s="78"/>
      <c r="L368" s="78"/>
    </row>
    <row r="369" spans="1:12" s="20" customFormat="1" ht="27" customHeight="1" hidden="1">
      <c r="A369" s="14"/>
      <c r="B369" s="14">
        <v>171000</v>
      </c>
      <c r="C369" s="14"/>
      <c r="D369" s="15" t="s">
        <v>267</v>
      </c>
      <c r="E369" s="15" t="s">
        <v>510</v>
      </c>
      <c r="F369" s="17"/>
      <c r="G369" s="18"/>
      <c r="H369" s="17"/>
      <c r="I369" s="19">
        <v>8536295</v>
      </c>
      <c r="J369" s="78"/>
      <c r="L369" s="78"/>
    </row>
    <row r="370" spans="1:12" s="20" customFormat="1" ht="15.75" hidden="1">
      <c r="A370" s="14"/>
      <c r="B370" s="14"/>
      <c r="C370" s="14"/>
      <c r="D370" s="15"/>
      <c r="E370" s="15" t="s">
        <v>513</v>
      </c>
      <c r="F370" s="17"/>
      <c r="G370" s="18"/>
      <c r="H370" s="17"/>
      <c r="I370" s="19"/>
      <c r="J370" s="78"/>
      <c r="L370" s="78"/>
    </row>
    <row r="371" spans="1:12" s="20" customFormat="1" ht="45.75">
      <c r="A371" s="14"/>
      <c r="B371" s="14">
        <v>180409</v>
      </c>
      <c r="C371" s="14"/>
      <c r="D371" s="15" t="s">
        <v>253</v>
      </c>
      <c r="E371" s="15" t="s">
        <v>268</v>
      </c>
      <c r="F371" s="17"/>
      <c r="G371" s="17"/>
      <c r="H371" s="17"/>
      <c r="I371" s="19">
        <f>I374+I375+I376</f>
        <v>25824480</v>
      </c>
      <c r="J371" s="78"/>
      <c r="L371" s="78"/>
    </row>
    <row r="372" spans="1:12" s="20" customFormat="1" ht="15.75" hidden="1">
      <c r="A372" s="14"/>
      <c r="B372" s="14"/>
      <c r="C372" s="14"/>
      <c r="D372" s="15"/>
      <c r="E372" s="15"/>
      <c r="F372" s="17"/>
      <c r="G372" s="18"/>
      <c r="H372" s="17"/>
      <c r="I372" s="19"/>
      <c r="J372" s="78"/>
      <c r="L372" s="78"/>
    </row>
    <row r="373" spans="1:12" s="20" customFormat="1" ht="15.75">
      <c r="A373" s="14"/>
      <c r="B373" s="14"/>
      <c r="C373" s="14"/>
      <c r="D373" s="15"/>
      <c r="E373" s="15" t="s">
        <v>309</v>
      </c>
      <c r="F373" s="17"/>
      <c r="G373" s="17"/>
      <c r="H373" s="17"/>
      <c r="I373" s="19"/>
      <c r="J373" s="78"/>
      <c r="L373" s="78"/>
    </row>
    <row r="374" spans="1:12" s="20" customFormat="1" ht="93.75">
      <c r="A374" s="14"/>
      <c r="B374" s="14"/>
      <c r="C374" s="14"/>
      <c r="D374" s="15"/>
      <c r="E374" s="142" t="s">
        <v>12</v>
      </c>
      <c r="F374" s="85"/>
      <c r="G374" s="85"/>
      <c r="H374" s="85"/>
      <c r="I374" s="86">
        <v>1474480</v>
      </c>
      <c r="J374" s="78"/>
      <c r="L374" s="78"/>
    </row>
    <row r="375" spans="1:9" s="105" customFormat="1" ht="37.5">
      <c r="A375" s="104"/>
      <c r="B375" s="104"/>
      <c r="C375" s="104"/>
      <c r="D375" s="89"/>
      <c r="E375" s="142" t="s">
        <v>462</v>
      </c>
      <c r="F375" s="85"/>
      <c r="G375" s="85"/>
      <c r="H375" s="85"/>
      <c r="I375" s="86">
        <v>23700000</v>
      </c>
    </row>
    <row r="376" spans="1:12" s="20" customFormat="1" ht="56.25">
      <c r="A376" s="14"/>
      <c r="B376" s="14"/>
      <c r="C376" s="14"/>
      <c r="D376" s="15"/>
      <c r="E376" s="142" t="s">
        <v>368</v>
      </c>
      <c r="F376" s="85"/>
      <c r="G376" s="85"/>
      <c r="H376" s="85"/>
      <c r="I376" s="86">
        <v>650000</v>
      </c>
      <c r="J376" s="78"/>
      <c r="L376" s="78"/>
    </row>
    <row r="377" spans="1:12" s="20" customFormat="1" ht="45.75" hidden="1">
      <c r="A377" s="14"/>
      <c r="B377" s="14">
        <v>180409</v>
      </c>
      <c r="C377" s="14"/>
      <c r="D377" s="15" t="s">
        <v>253</v>
      </c>
      <c r="E377" s="89" t="s">
        <v>342</v>
      </c>
      <c r="F377" s="85"/>
      <c r="G377" s="85"/>
      <c r="H377" s="85"/>
      <c r="I377" s="86"/>
      <c r="J377" s="78"/>
      <c r="L377" s="78"/>
    </row>
    <row r="378" spans="1:12" s="20" customFormat="1" ht="15.75" hidden="1">
      <c r="A378" s="14"/>
      <c r="B378" s="14"/>
      <c r="C378" s="14"/>
      <c r="D378" s="15"/>
      <c r="E378" s="89"/>
      <c r="F378" s="85"/>
      <c r="G378" s="87"/>
      <c r="H378" s="85"/>
      <c r="I378" s="86"/>
      <c r="J378" s="78"/>
      <c r="L378" s="78"/>
    </row>
    <row r="379" spans="1:12" s="20" customFormat="1" ht="15.75" hidden="1">
      <c r="A379" s="14"/>
      <c r="B379" s="14"/>
      <c r="C379" s="14"/>
      <c r="D379" s="15"/>
      <c r="E379" s="89" t="s">
        <v>309</v>
      </c>
      <c r="F379" s="85"/>
      <c r="G379" s="85"/>
      <c r="H379" s="85"/>
      <c r="I379" s="86"/>
      <c r="J379" s="78"/>
      <c r="L379" s="78"/>
    </row>
    <row r="380" spans="1:12" s="20" customFormat="1" ht="60" hidden="1">
      <c r="A380" s="14"/>
      <c r="B380" s="14"/>
      <c r="C380" s="14"/>
      <c r="D380" s="15"/>
      <c r="E380" s="95" t="s">
        <v>12</v>
      </c>
      <c r="F380" s="85"/>
      <c r="G380" s="85"/>
      <c r="H380" s="85"/>
      <c r="I380" s="86"/>
      <c r="J380" s="78"/>
      <c r="L380" s="78"/>
    </row>
    <row r="381" spans="1:12" s="20" customFormat="1" ht="47.25" customHeight="1" hidden="1">
      <c r="A381" s="14"/>
      <c r="B381" s="14"/>
      <c r="C381" s="14"/>
      <c r="D381" s="15"/>
      <c r="E381" s="95" t="s">
        <v>343</v>
      </c>
      <c r="F381" s="85"/>
      <c r="G381" s="85"/>
      <c r="H381" s="85"/>
      <c r="I381" s="86"/>
      <c r="J381" s="78"/>
      <c r="L381" s="78"/>
    </row>
    <row r="382" spans="1:12" s="20" customFormat="1" ht="15.75" hidden="1">
      <c r="A382" s="14"/>
      <c r="B382" s="14">
        <v>120100</v>
      </c>
      <c r="C382" s="14"/>
      <c r="D382" s="15" t="s">
        <v>17</v>
      </c>
      <c r="E382" s="15" t="s">
        <v>510</v>
      </c>
      <c r="F382" s="17"/>
      <c r="G382" s="17"/>
      <c r="H382" s="17"/>
      <c r="I382" s="19">
        <v>143525</v>
      </c>
      <c r="J382" s="78"/>
      <c r="L382" s="78"/>
    </row>
    <row r="383" spans="1:12" s="26" customFormat="1" ht="47.25" hidden="1">
      <c r="A383" s="23"/>
      <c r="B383" s="23">
        <v>67</v>
      </c>
      <c r="C383" s="23"/>
      <c r="D383" s="24" t="s">
        <v>269</v>
      </c>
      <c r="E383" s="24"/>
      <c r="F383" s="25"/>
      <c r="G383" s="25"/>
      <c r="H383" s="25"/>
      <c r="I383" s="25">
        <f>SUM(I384:I386)</f>
        <v>1531097</v>
      </c>
      <c r="J383" s="75">
        <f>'[1]Місто'!$O$366-I383</f>
        <v>0</v>
      </c>
      <c r="L383" s="77"/>
    </row>
    <row r="384" spans="1:12" s="20" customFormat="1" ht="15.75" hidden="1">
      <c r="A384" s="14"/>
      <c r="B384" s="14" t="s">
        <v>508</v>
      </c>
      <c r="C384" s="14"/>
      <c r="D384" s="15" t="s">
        <v>509</v>
      </c>
      <c r="E384" s="15" t="s">
        <v>510</v>
      </c>
      <c r="F384" s="17"/>
      <c r="G384" s="18"/>
      <c r="H384" s="17"/>
      <c r="I384" s="19"/>
      <c r="J384" s="78"/>
      <c r="L384" s="78"/>
    </row>
    <row r="385" spans="1:12" s="20" customFormat="1" ht="45.75" hidden="1">
      <c r="A385" s="14"/>
      <c r="B385" s="14">
        <v>210105</v>
      </c>
      <c r="C385" s="14"/>
      <c r="D385" s="15" t="s">
        <v>270</v>
      </c>
      <c r="E385" s="15" t="s">
        <v>510</v>
      </c>
      <c r="F385" s="17"/>
      <c r="G385" s="18"/>
      <c r="H385" s="17"/>
      <c r="I385" s="19">
        <f>'[1]Місто'!$O$370</f>
        <v>1256377</v>
      </c>
      <c r="J385" s="78"/>
      <c r="L385" s="78"/>
    </row>
    <row r="386" spans="1:12" s="20" customFormat="1" ht="15.75" hidden="1">
      <c r="A386" s="14"/>
      <c r="B386" s="14">
        <v>210110</v>
      </c>
      <c r="C386" s="14"/>
      <c r="D386" s="15" t="s">
        <v>271</v>
      </c>
      <c r="E386" s="15" t="s">
        <v>510</v>
      </c>
      <c r="F386" s="17"/>
      <c r="G386" s="18"/>
      <c r="H386" s="17"/>
      <c r="I386" s="19">
        <v>274720</v>
      </c>
      <c r="J386" s="78"/>
      <c r="L386" s="78"/>
    </row>
    <row r="387" spans="1:12" s="26" customFormat="1" ht="31.5" hidden="1">
      <c r="A387" s="23"/>
      <c r="B387" s="23">
        <v>73</v>
      </c>
      <c r="C387" s="23"/>
      <c r="D387" s="24" t="s">
        <v>272</v>
      </c>
      <c r="E387" s="24"/>
      <c r="F387" s="25">
        <f>F388+F389+F390+F391+F392+F393</f>
        <v>28067545</v>
      </c>
      <c r="G387" s="25"/>
      <c r="H387" s="25">
        <f>H388+H389+H390+H391+H392+H393</f>
        <v>16316281</v>
      </c>
      <c r="I387" s="25">
        <f>I388+I389+I390+I391+I392+I393</f>
        <v>16474982</v>
      </c>
      <c r="J387" s="75">
        <f>'[1]Місто'!$O$374-I387</f>
        <v>0</v>
      </c>
      <c r="K387" s="34"/>
      <c r="L387" s="75"/>
    </row>
    <row r="388" spans="1:12" s="20" customFormat="1" ht="15.75" hidden="1">
      <c r="A388" s="14"/>
      <c r="B388" s="14" t="s">
        <v>508</v>
      </c>
      <c r="C388" s="14"/>
      <c r="D388" s="15" t="s">
        <v>509</v>
      </c>
      <c r="E388" s="15" t="s">
        <v>510</v>
      </c>
      <c r="F388" s="17"/>
      <c r="G388" s="18"/>
      <c r="H388" s="17"/>
      <c r="I388" s="19">
        <v>158701</v>
      </c>
      <c r="J388" s="78"/>
      <c r="L388" s="78"/>
    </row>
    <row r="389" spans="1:12" s="20" customFormat="1" ht="37.5" hidden="1">
      <c r="A389" s="14"/>
      <c r="B389" s="14">
        <v>150101</v>
      </c>
      <c r="C389" s="14"/>
      <c r="D389" s="15" t="s">
        <v>511</v>
      </c>
      <c r="E389" s="111" t="s">
        <v>273</v>
      </c>
      <c r="F389" s="17">
        <v>13415939</v>
      </c>
      <c r="G389" s="18">
        <f>100-(H389/F389)*100</f>
        <v>49.65613662972081</v>
      </c>
      <c r="H389" s="19">
        <v>6754102</v>
      </c>
      <c r="I389" s="19">
        <v>6754102</v>
      </c>
      <c r="J389" s="78"/>
      <c r="L389" s="78"/>
    </row>
    <row r="390" spans="1:12" s="20" customFormat="1" ht="56.25" hidden="1">
      <c r="A390" s="14"/>
      <c r="B390" s="14">
        <v>150101</v>
      </c>
      <c r="C390" s="14"/>
      <c r="D390" s="15" t="s">
        <v>511</v>
      </c>
      <c r="E390" s="111" t="s">
        <v>274</v>
      </c>
      <c r="F390" s="17">
        <v>200000</v>
      </c>
      <c r="G390" s="18">
        <f>100-(H390/F390)*100</f>
        <v>24.45349999999999</v>
      </c>
      <c r="H390" s="19">
        <v>151093</v>
      </c>
      <c r="I390" s="19">
        <v>151093</v>
      </c>
      <c r="J390" s="78"/>
      <c r="L390" s="78"/>
    </row>
    <row r="391" spans="1:12" s="20" customFormat="1" ht="56.25" hidden="1">
      <c r="A391" s="14"/>
      <c r="B391" s="14">
        <v>150101</v>
      </c>
      <c r="C391" s="14"/>
      <c r="D391" s="15" t="s">
        <v>511</v>
      </c>
      <c r="E391" s="111" t="s">
        <v>277</v>
      </c>
      <c r="F391" s="17">
        <v>172787</v>
      </c>
      <c r="G391" s="18">
        <f>100-(H391/F391)*100</f>
        <v>14.571119355044075</v>
      </c>
      <c r="H391" s="19">
        <v>147610</v>
      </c>
      <c r="I391" s="19">
        <v>147610</v>
      </c>
      <c r="J391" s="78"/>
      <c r="L391" s="78"/>
    </row>
    <row r="392" spans="1:12" s="20" customFormat="1" ht="37.5" hidden="1">
      <c r="A392" s="14"/>
      <c r="B392" s="14">
        <v>150101</v>
      </c>
      <c r="C392" s="14"/>
      <c r="D392" s="15" t="s">
        <v>511</v>
      </c>
      <c r="E392" s="111" t="s">
        <v>477</v>
      </c>
      <c r="F392" s="17">
        <v>168762</v>
      </c>
      <c r="G392" s="18">
        <f>100-(H392/F392)*100</f>
        <v>25.495075905713378</v>
      </c>
      <c r="H392" s="19">
        <v>125736</v>
      </c>
      <c r="I392" s="19">
        <v>125736</v>
      </c>
      <c r="J392" s="78"/>
      <c r="L392" s="78"/>
    </row>
    <row r="393" spans="1:12" s="20" customFormat="1" ht="60.75" hidden="1">
      <c r="A393" s="14"/>
      <c r="B393" s="14">
        <v>150101</v>
      </c>
      <c r="C393" s="14"/>
      <c r="D393" s="15" t="s">
        <v>278</v>
      </c>
      <c r="E393" s="111" t="s">
        <v>279</v>
      </c>
      <c r="F393" s="17">
        <v>14110057</v>
      </c>
      <c r="G393" s="18">
        <f>100-(H393/F393)*100</f>
        <v>35.239524546215506</v>
      </c>
      <c r="H393" s="19">
        <v>9137740</v>
      </c>
      <c r="I393" s="19">
        <v>9137740</v>
      </c>
      <c r="J393" s="78"/>
      <c r="L393" s="78"/>
    </row>
    <row r="394" spans="1:12" s="20" customFormat="1" ht="15.75" hidden="1">
      <c r="A394" s="14"/>
      <c r="B394" s="14"/>
      <c r="C394" s="14"/>
      <c r="D394" s="15"/>
      <c r="E394" s="15"/>
      <c r="F394" s="17"/>
      <c r="G394" s="18"/>
      <c r="H394" s="17"/>
      <c r="I394" s="19"/>
      <c r="J394" s="78"/>
      <c r="L394" s="78"/>
    </row>
    <row r="395" spans="1:12" s="20" customFormat="1" ht="15.75" hidden="1">
      <c r="A395" s="14"/>
      <c r="B395" s="14">
        <v>150101</v>
      </c>
      <c r="C395" s="14"/>
      <c r="D395" s="15" t="s">
        <v>511</v>
      </c>
      <c r="E395" s="15"/>
      <c r="F395" s="17"/>
      <c r="G395" s="18"/>
      <c r="H395" s="17"/>
      <c r="I395" s="19"/>
      <c r="J395" s="78"/>
      <c r="L395" s="78"/>
    </row>
    <row r="396" spans="1:12" s="20" customFormat="1" ht="15.75" hidden="1">
      <c r="A396" s="14"/>
      <c r="B396" s="14">
        <v>150101</v>
      </c>
      <c r="C396" s="14"/>
      <c r="D396" s="15" t="s">
        <v>511</v>
      </c>
      <c r="E396" s="15"/>
      <c r="F396" s="17"/>
      <c r="G396" s="18"/>
      <c r="H396" s="17"/>
      <c r="I396" s="19"/>
      <c r="J396" s="78"/>
      <c r="L396" s="78"/>
    </row>
    <row r="397" spans="1:12" s="20" customFormat="1" ht="15.75" hidden="1">
      <c r="A397" s="14"/>
      <c r="B397" s="14"/>
      <c r="C397" s="14"/>
      <c r="D397" s="15"/>
      <c r="E397" s="15"/>
      <c r="F397" s="17"/>
      <c r="G397" s="18"/>
      <c r="H397" s="17"/>
      <c r="I397" s="19"/>
      <c r="J397" s="78"/>
      <c r="L397" s="78"/>
    </row>
    <row r="398" spans="1:12" s="20" customFormat="1" ht="15.75" hidden="1">
      <c r="A398" s="14"/>
      <c r="B398" s="14">
        <v>150101</v>
      </c>
      <c r="C398" s="14"/>
      <c r="D398" s="15" t="s">
        <v>511</v>
      </c>
      <c r="E398" s="15"/>
      <c r="F398" s="17"/>
      <c r="G398" s="18"/>
      <c r="H398" s="17"/>
      <c r="I398" s="19"/>
      <c r="J398" s="78"/>
      <c r="L398" s="78"/>
    </row>
    <row r="399" spans="1:12" s="20" customFormat="1" ht="15.75" hidden="1">
      <c r="A399" s="14"/>
      <c r="B399" s="14"/>
      <c r="C399" s="14"/>
      <c r="D399" s="15"/>
      <c r="E399" s="15"/>
      <c r="F399" s="17"/>
      <c r="G399" s="18"/>
      <c r="H399" s="17"/>
      <c r="I399" s="19"/>
      <c r="J399" s="78"/>
      <c r="L399" s="78"/>
    </row>
    <row r="400" spans="1:12" s="20" customFormat="1" ht="15.75" hidden="1">
      <c r="A400" s="14"/>
      <c r="B400" s="14">
        <v>150101</v>
      </c>
      <c r="C400" s="14"/>
      <c r="D400" s="15" t="s">
        <v>511</v>
      </c>
      <c r="E400" s="15"/>
      <c r="F400" s="17"/>
      <c r="G400" s="18"/>
      <c r="H400" s="17"/>
      <c r="I400" s="19"/>
      <c r="J400" s="78"/>
      <c r="L400" s="78"/>
    </row>
    <row r="401" spans="1:12" s="20" customFormat="1" ht="15.75" hidden="1">
      <c r="A401" s="14"/>
      <c r="B401" s="14"/>
      <c r="C401" s="14"/>
      <c r="D401" s="15"/>
      <c r="E401" s="15"/>
      <c r="F401" s="17"/>
      <c r="G401" s="18"/>
      <c r="H401" s="17"/>
      <c r="I401" s="19"/>
      <c r="J401" s="78"/>
      <c r="L401" s="78"/>
    </row>
    <row r="402" spans="1:12" s="20" customFormat="1" ht="26.25" customHeight="1" hidden="1">
      <c r="A402" s="14"/>
      <c r="B402" s="14">
        <v>150101</v>
      </c>
      <c r="C402" s="14"/>
      <c r="D402" s="15" t="s">
        <v>511</v>
      </c>
      <c r="E402" s="15"/>
      <c r="F402" s="17"/>
      <c r="G402" s="18"/>
      <c r="H402" s="17"/>
      <c r="I402" s="19"/>
      <c r="J402" s="78"/>
      <c r="L402" s="78"/>
    </row>
    <row r="403" spans="1:12" s="20" customFormat="1" ht="15.75" hidden="1">
      <c r="A403" s="14"/>
      <c r="B403" s="14"/>
      <c r="C403" s="14"/>
      <c r="D403" s="15"/>
      <c r="E403" s="15"/>
      <c r="F403" s="17"/>
      <c r="G403" s="18"/>
      <c r="H403" s="17"/>
      <c r="I403" s="19"/>
      <c r="J403" s="78"/>
      <c r="L403" s="78"/>
    </row>
    <row r="404" spans="1:12" s="26" customFormat="1" ht="31.5" hidden="1">
      <c r="A404" s="23"/>
      <c r="B404" s="23" t="s">
        <v>280</v>
      </c>
      <c r="C404" s="23"/>
      <c r="D404" s="24" t="s">
        <v>281</v>
      </c>
      <c r="E404" s="24"/>
      <c r="F404" s="25"/>
      <c r="G404" s="27"/>
      <c r="H404" s="25"/>
      <c r="I404" s="25">
        <f>I405</f>
        <v>0</v>
      </c>
      <c r="J404" s="75"/>
      <c r="L404" s="77"/>
    </row>
    <row r="405" spans="1:12" s="20" customFormat="1" ht="15.75" hidden="1">
      <c r="A405" s="14"/>
      <c r="B405" s="14" t="s">
        <v>508</v>
      </c>
      <c r="C405" s="14"/>
      <c r="D405" s="15" t="s">
        <v>509</v>
      </c>
      <c r="E405" s="15" t="s">
        <v>510</v>
      </c>
      <c r="F405" s="17"/>
      <c r="G405" s="18"/>
      <c r="H405" s="17"/>
      <c r="I405" s="19"/>
      <c r="J405" s="78"/>
      <c r="L405" s="78"/>
    </row>
    <row r="406" spans="1:12" s="26" customFormat="1" ht="31.5" hidden="1">
      <c r="A406" s="23"/>
      <c r="B406" s="23" t="s">
        <v>282</v>
      </c>
      <c r="C406" s="23"/>
      <c r="D406" s="24" t="s">
        <v>281</v>
      </c>
      <c r="E406" s="24"/>
      <c r="F406" s="25"/>
      <c r="G406" s="27"/>
      <c r="H406" s="25"/>
      <c r="I406" s="25">
        <f>I407</f>
        <v>0</v>
      </c>
      <c r="J406" s="77"/>
      <c r="L406" s="77"/>
    </row>
    <row r="407" spans="1:12" s="20" customFormat="1" ht="15.75" hidden="1">
      <c r="A407" s="14"/>
      <c r="B407" s="14">
        <v>250380</v>
      </c>
      <c r="C407" s="14"/>
      <c r="D407" s="15" t="s">
        <v>252</v>
      </c>
      <c r="E407" s="15" t="s">
        <v>510</v>
      </c>
      <c r="F407" s="17"/>
      <c r="G407" s="18"/>
      <c r="H407" s="17"/>
      <c r="I407" s="19"/>
      <c r="J407" s="78"/>
      <c r="L407" s="78"/>
    </row>
    <row r="408" spans="1:12" s="26" customFormat="1" ht="31.5" hidden="1">
      <c r="A408" s="23"/>
      <c r="B408" s="23">
        <v>90</v>
      </c>
      <c r="C408" s="23"/>
      <c r="D408" s="24" t="s">
        <v>283</v>
      </c>
      <c r="E408" s="24"/>
      <c r="F408" s="25"/>
      <c r="G408" s="27"/>
      <c r="H408" s="25"/>
      <c r="I408" s="25">
        <f>I409</f>
        <v>0</v>
      </c>
      <c r="J408" s="75"/>
      <c r="L408" s="77"/>
    </row>
    <row r="409" spans="1:12" s="20" customFormat="1" ht="15.75" hidden="1">
      <c r="A409" s="14"/>
      <c r="B409" s="14" t="s">
        <v>508</v>
      </c>
      <c r="C409" s="14"/>
      <c r="D409" s="15" t="s">
        <v>509</v>
      </c>
      <c r="E409" s="15" t="s">
        <v>510</v>
      </c>
      <c r="F409" s="17"/>
      <c r="G409" s="18"/>
      <c r="H409" s="17"/>
      <c r="I409" s="19"/>
      <c r="J409" s="78"/>
      <c r="L409" s="78"/>
    </row>
    <row r="410" spans="1:12" s="20" customFormat="1" ht="15.75" hidden="1">
      <c r="A410" s="14"/>
      <c r="B410" s="14" t="s">
        <v>261</v>
      </c>
      <c r="C410" s="14"/>
      <c r="D410" s="15" t="s">
        <v>284</v>
      </c>
      <c r="E410" s="15" t="s">
        <v>510</v>
      </c>
      <c r="F410" s="17"/>
      <c r="G410" s="18"/>
      <c r="H410" s="17"/>
      <c r="I410" s="19"/>
      <c r="J410" s="78"/>
      <c r="L410" s="78"/>
    </row>
    <row r="411" spans="1:12" s="20" customFormat="1" ht="15.75" hidden="1">
      <c r="A411" s="14"/>
      <c r="B411" s="14" t="s">
        <v>285</v>
      </c>
      <c r="C411" s="14"/>
      <c r="D411" s="15" t="s">
        <v>511</v>
      </c>
      <c r="E411" s="15"/>
      <c r="F411" s="17"/>
      <c r="G411" s="18"/>
      <c r="H411" s="17"/>
      <c r="I411" s="19"/>
      <c r="J411" s="78"/>
      <c r="L411" s="78"/>
    </row>
    <row r="412" spans="1:12" s="20" customFormat="1" ht="15.75" hidden="1">
      <c r="A412" s="14"/>
      <c r="B412" s="14"/>
      <c r="C412" s="14"/>
      <c r="D412" s="15"/>
      <c r="E412" s="15" t="s">
        <v>513</v>
      </c>
      <c r="F412" s="17"/>
      <c r="G412" s="18"/>
      <c r="H412" s="17"/>
      <c r="I412" s="19"/>
      <c r="J412" s="78"/>
      <c r="L412" s="78"/>
    </row>
    <row r="413" spans="1:12" s="26" customFormat="1" ht="31.5" hidden="1">
      <c r="A413" s="23"/>
      <c r="B413" s="23">
        <v>91</v>
      </c>
      <c r="C413" s="23"/>
      <c r="D413" s="24" t="s">
        <v>286</v>
      </c>
      <c r="E413" s="24"/>
      <c r="F413" s="25"/>
      <c r="G413" s="25"/>
      <c r="H413" s="25"/>
      <c r="I413" s="25">
        <f>SUM(I414:I416)-I415</f>
        <v>0</v>
      </c>
      <c r="J413" s="75"/>
      <c r="L413" s="77"/>
    </row>
    <row r="414" spans="1:12" s="20" customFormat="1" ht="15.75" hidden="1">
      <c r="A414" s="14"/>
      <c r="B414" s="14">
        <v>10116</v>
      </c>
      <c r="C414" s="14"/>
      <c r="D414" s="15" t="s">
        <v>509</v>
      </c>
      <c r="E414" s="15" t="s">
        <v>510</v>
      </c>
      <c r="F414" s="17"/>
      <c r="G414" s="18"/>
      <c r="H414" s="17"/>
      <c r="I414" s="19"/>
      <c r="J414" s="78"/>
      <c r="L414" s="78"/>
    </row>
    <row r="415" spans="1:12" s="20" customFormat="1" ht="15.75" hidden="1">
      <c r="A415" s="14"/>
      <c r="B415" s="14"/>
      <c r="C415" s="14"/>
      <c r="D415" s="15"/>
      <c r="E415" s="15" t="s">
        <v>513</v>
      </c>
      <c r="F415" s="17"/>
      <c r="G415" s="18"/>
      <c r="H415" s="17"/>
      <c r="I415" s="19"/>
      <c r="J415" s="78"/>
      <c r="L415" s="78"/>
    </row>
    <row r="416" spans="1:12" s="20" customFormat="1" ht="19.5" customHeight="1" hidden="1">
      <c r="A416" s="14"/>
      <c r="B416" s="14" t="s">
        <v>261</v>
      </c>
      <c r="C416" s="14"/>
      <c r="D416" s="15" t="s">
        <v>284</v>
      </c>
      <c r="E416" s="15" t="s">
        <v>510</v>
      </c>
      <c r="F416" s="17"/>
      <c r="G416" s="18"/>
      <c r="H416" s="17"/>
      <c r="I416" s="19"/>
      <c r="J416" s="78"/>
      <c r="L416" s="78"/>
    </row>
    <row r="417" spans="1:12" s="20" customFormat="1" ht="15.75" hidden="1">
      <c r="A417" s="14"/>
      <c r="B417" s="14"/>
      <c r="C417" s="14"/>
      <c r="D417" s="15"/>
      <c r="E417" s="15" t="s">
        <v>513</v>
      </c>
      <c r="F417" s="17"/>
      <c r="G417" s="18"/>
      <c r="H417" s="17"/>
      <c r="I417" s="19"/>
      <c r="J417" s="78"/>
      <c r="L417" s="78"/>
    </row>
    <row r="418" spans="1:12" s="26" customFormat="1" ht="31.5" hidden="1">
      <c r="A418" s="23"/>
      <c r="B418" s="23">
        <v>92</v>
      </c>
      <c r="C418" s="23"/>
      <c r="D418" s="24" t="s">
        <v>287</v>
      </c>
      <c r="E418" s="24"/>
      <c r="F418" s="25">
        <f>SUM(F422:F429)</f>
        <v>17873004</v>
      </c>
      <c r="G418" s="25"/>
      <c r="H418" s="25">
        <f>SUM(H422:H429)</f>
        <v>17264671</v>
      </c>
      <c r="I418" s="25">
        <f>SUM(I422:I429)</f>
        <v>4466316</v>
      </c>
      <c r="J418" s="75">
        <f>'[1]Місто'!$O$454-I418</f>
        <v>-4466316</v>
      </c>
      <c r="K418" s="34"/>
      <c r="L418" s="75"/>
    </row>
    <row r="419" spans="1:12" s="20" customFormat="1" ht="15.75" hidden="1">
      <c r="A419" s="14"/>
      <c r="B419" s="14" t="s">
        <v>508</v>
      </c>
      <c r="C419" s="14"/>
      <c r="D419" s="15" t="s">
        <v>509</v>
      </c>
      <c r="E419" s="15" t="s">
        <v>510</v>
      </c>
      <c r="F419" s="17"/>
      <c r="G419" s="18"/>
      <c r="H419" s="17"/>
      <c r="I419" s="19"/>
      <c r="J419" s="78"/>
      <c r="L419" s="78"/>
    </row>
    <row r="420" spans="1:12" s="20" customFormat="1" ht="15.75" hidden="1">
      <c r="A420" s="14"/>
      <c r="B420" s="14"/>
      <c r="C420" s="14"/>
      <c r="D420" s="15"/>
      <c r="E420" s="15" t="s">
        <v>513</v>
      </c>
      <c r="F420" s="17"/>
      <c r="G420" s="18"/>
      <c r="H420" s="17"/>
      <c r="I420" s="19"/>
      <c r="J420" s="78"/>
      <c r="L420" s="78"/>
    </row>
    <row r="421" spans="1:12" s="20" customFormat="1" ht="42.75" customHeight="1" hidden="1">
      <c r="A421" s="14"/>
      <c r="B421" s="14" t="s">
        <v>261</v>
      </c>
      <c r="C421" s="14"/>
      <c r="D421" s="15" t="s">
        <v>284</v>
      </c>
      <c r="E421" s="15" t="s">
        <v>297</v>
      </c>
      <c r="F421" s="17"/>
      <c r="G421" s="18"/>
      <c r="H421" s="17"/>
      <c r="I421" s="19"/>
      <c r="J421" s="78"/>
      <c r="L421" s="78"/>
    </row>
    <row r="422" spans="1:12" s="20" customFormat="1" ht="28.5" customHeight="1" hidden="1">
      <c r="A422" s="14"/>
      <c r="B422" s="14">
        <v>150101</v>
      </c>
      <c r="C422" s="14"/>
      <c r="D422" s="15" t="s">
        <v>511</v>
      </c>
      <c r="E422" s="111" t="s">
        <v>288</v>
      </c>
      <c r="F422" s="17">
        <v>10000000</v>
      </c>
      <c r="G422" s="18">
        <f aca="true" t="shared" si="6" ref="G422:G429">100-(H422/F422*100)</f>
        <v>1.1687399999999997</v>
      </c>
      <c r="H422" s="17">
        <v>9883126</v>
      </c>
      <c r="I422" s="19">
        <v>128400</v>
      </c>
      <c r="J422" s="78"/>
      <c r="L422" s="78"/>
    </row>
    <row r="423" spans="1:12" s="20" customFormat="1" ht="60" customHeight="1" hidden="1">
      <c r="A423" s="14"/>
      <c r="B423" s="14">
        <v>150101</v>
      </c>
      <c r="C423" s="14"/>
      <c r="D423" s="15" t="s">
        <v>511</v>
      </c>
      <c r="E423" s="111" t="s">
        <v>499</v>
      </c>
      <c r="F423" s="17">
        <v>2129131</v>
      </c>
      <c r="G423" s="18">
        <f t="shared" si="6"/>
        <v>0</v>
      </c>
      <c r="H423" s="17">
        <v>2129131</v>
      </c>
      <c r="I423" s="17">
        <v>2129131</v>
      </c>
      <c r="J423" s="78"/>
      <c r="L423" s="78"/>
    </row>
    <row r="424" spans="1:12" s="20" customFormat="1" ht="66.75" customHeight="1" hidden="1">
      <c r="A424" s="14"/>
      <c r="B424" s="14">
        <v>150101</v>
      </c>
      <c r="C424" s="14"/>
      <c r="D424" s="15" t="s">
        <v>511</v>
      </c>
      <c r="E424" s="111" t="s">
        <v>500</v>
      </c>
      <c r="F424" s="17">
        <v>300000</v>
      </c>
      <c r="G424" s="18">
        <f t="shared" si="6"/>
        <v>3.7296666666666596</v>
      </c>
      <c r="H424" s="19">
        <v>288811</v>
      </c>
      <c r="I424" s="19">
        <v>288811</v>
      </c>
      <c r="J424" s="78"/>
      <c r="L424" s="78"/>
    </row>
    <row r="425" spans="1:12" s="20" customFormat="1" ht="56.25" hidden="1">
      <c r="A425" s="14"/>
      <c r="B425" s="14">
        <v>150101</v>
      </c>
      <c r="C425" s="14"/>
      <c r="D425" s="15" t="s">
        <v>511</v>
      </c>
      <c r="E425" s="118" t="s">
        <v>444</v>
      </c>
      <c r="F425" s="17">
        <v>2000000</v>
      </c>
      <c r="G425" s="18">
        <f t="shared" si="6"/>
        <v>4.43235</v>
      </c>
      <c r="H425" s="17">
        <v>1911353</v>
      </c>
      <c r="I425" s="19">
        <v>6748</v>
      </c>
      <c r="J425" s="78"/>
      <c r="L425" s="78"/>
    </row>
    <row r="426" spans="1:12" s="20" customFormat="1" ht="56.25" hidden="1">
      <c r="A426" s="14"/>
      <c r="B426" s="14">
        <v>150101</v>
      </c>
      <c r="C426" s="14"/>
      <c r="D426" s="15" t="s">
        <v>511</v>
      </c>
      <c r="E426" s="118" t="s">
        <v>445</v>
      </c>
      <c r="F426" s="17">
        <v>70000</v>
      </c>
      <c r="G426" s="18">
        <f t="shared" si="6"/>
        <v>16.47285714285715</v>
      </c>
      <c r="H426" s="17">
        <v>58469</v>
      </c>
      <c r="I426" s="19">
        <v>58468</v>
      </c>
      <c r="J426" s="78"/>
      <c r="L426" s="78"/>
    </row>
    <row r="427" spans="1:12" s="20" customFormat="1" ht="58.5" customHeight="1" hidden="1">
      <c r="A427" s="14"/>
      <c r="B427" s="14">
        <v>150101</v>
      </c>
      <c r="C427" s="14"/>
      <c r="D427" s="15" t="s">
        <v>511</v>
      </c>
      <c r="E427" s="118" t="s">
        <v>446</v>
      </c>
      <c r="F427" s="17">
        <v>609237</v>
      </c>
      <c r="G427" s="18">
        <f t="shared" si="6"/>
        <v>57.854168410651354</v>
      </c>
      <c r="H427" s="17">
        <v>256768</v>
      </c>
      <c r="I427" s="19">
        <v>2381</v>
      </c>
      <c r="J427" s="78"/>
      <c r="L427" s="78"/>
    </row>
    <row r="428" spans="1:12" s="20" customFormat="1" ht="79.5" customHeight="1" hidden="1">
      <c r="A428" s="14"/>
      <c r="B428" s="14">
        <v>150101</v>
      </c>
      <c r="C428" s="14"/>
      <c r="D428" s="15" t="s">
        <v>511</v>
      </c>
      <c r="E428" s="118" t="s">
        <v>323</v>
      </c>
      <c r="F428" s="17">
        <v>1705636</v>
      </c>
      <c r="G428" s="18">
        <f t="shared" si="6"/>
        <v>0</v>
      </c>
      <c r="H428" s="17">
        <v>1705636</v>
      </c>
      <c r="I428" s="17">
        <v>980000</v>
      </c>
      <c r="J428" s="78"/>
      <c r="L428" s="78"/>
    </row>
    <row r="429" spans="1:12" s="20" customFormat="1" ht="56.25" hidden="1">
      <c r="A429" s="14"/>
      <c r="B429" s="14">
        <v>150101</v>
      </c>
      <c r="C429" s="14"/>
      <c r="D429" s="15" t="s">
        <v>511</v>
      </c>
      <c r="E429" s="118" t="s">
        <v>326</v>
      </c>
      <c r="F429" s="17">
        <v>1059000</v>
      </c>
      <c r="G429" s="18">
        <f t="shared" si="6"/>
        <v>2.6084041548630807</v>
      </c>
      <c r="H429" s="19">
        <v>1031377</v>
      </c>
      <c r="I429" s="19">
        <v>872377</v>
      </c>
      <c r="J429" s="78"/>
      <c r="L429" s="78"/>
    </row>
    <row r="430" spans="1:12" s="26" customFormat="1" ht="36" customHeight="1" hidden="1">
      <c r="A430" s="23"/>
      <c r="B430" s="23">
        <v>93</v>
      </c>
      <c r="C430" s="23"/>
      <c r="D430" s="24" t="s">
        <v>289</v>
      </c>
      <c r="E430" s="24"/>
      <c r="F430" s="25">
        <f>F431+F436+F438+F435</f>
        <v>6963549</v>
      </c>
      <c r="G430" s="27"/>
      <c r="H430" s="25">
        <f>H431+H436+H438+H435</f>
        <v>6764198</v>
      </c>
      <c r="I430" s="25">
        <f>I431+I436+I438+I435</f>
        <v>6765739</v>
      </c>
      <c r="J430" s="75">
        <f>'[1]Місто'!$O$474-I430</f>
        <v>-6765739</v>
      </c>
      <c r="K430" s="34"/>
      <c r="L430" s="75"/>
    </row>
    <row r="431" spans="1:12" s="20" customFormat="1" ht="15.75" hidden="1">
      <c r="A431" s="14"/>
      <c r="B431" s="14" t="s">
        <v>508</v>
      </c>
      <c r="C431" s="14"/>
      <c r="D431" s="15" t="s">
        <v>509</v>
      </c>
      <c r="E431" s="15" t="s">
        <v>510</v>
      </c>
      <c r="F431" s="17"/>
      <c r="G431" s="18"/>
      <c r="H431" s="17"/>
      <c r="I431" s="19">
        <v>1541</v>
      </c>
      <c r="J431" s="78"/>
      <c r="L431" s="78"/>
    </row>
    <row r="432" spans="1:12" s="20" customFormat="1" ht="48" customHeight="1" hidden="1">
      <c r="A432" s="14"/>
      <c r="B432" s="14"/>
      <c r="C432" s="14"/>
      <c r="D432" s="15"/>
      <c r="E432" s="15"/>
      <c r="F432" s="17"/>
      <c r="G432" s="17"/>
      <c r="H432" s="17"/>
      <c r="I432" s="19"/>
      <c r="J432" s="78"/>
      <c r="L432" s="78"/>
    </row>
    <row r="433" spans="1:12" s="20" customFormat="1" ht="36.75" customHeight="1" hidden="1">
      <c r="A433" s="14"/>
      <c r="B433" s="14"/>
      <c r="C433" s="14"/>
      <c r="D433" s="15"/>
      <c r="E433" s="15"/>
      <c r="F433" s="17"/>
      <c r="G433" s="17"/>
      <c r="H433" s="17"/>
      <c r="I433" s="19"/>
      <c r="J433" s="78"/>
      <c r="L433" s="78"/>
    </row>
    <row r="434" spans="1:12" s="20" customFormat="1" ht="15.75" hidden="1">
      <c r="A434" s="14"/>
      <c r="B434" s="14"/>
      <c r="C434" s="14"/>
      <c r="D434" s="15"/>
      <c r="E434" s="15" t="s">
        <v>513</v>
      </c>
      <c r="F434" s="17"/>
      <c r="G434" s="18"/>
      <c r="H434" s="17"/>
      <c r="I434" s="19"/>
      <c r="J434" s="78"/>
      <c r="L434" s="78"/>
    </row>
    <row r="435" spans="1:12" s="20" customFormat="1" ht="15.75" hidden="1">
      <c r="A435" s="54"/>
      <c r="B435" s="54" t="s">
        <v>261</v>
      </c>
      <c r="C435" s="54"/>
      <c r="D435" s="15" t="s">
        <v>284</v>
      </c>
      <c r="E435" s="15" t="s">
        <v>510</v>
      </c>
      <c r="F435" s="17"/>
      <c r="G435" s="18"/>
      <c r="H435" s="17"/>
      <c r="I435" s="19"/>
      <c r="J435" s="78"/>
      <c r="L435" s="78"/>
    </row>
    <row r="436" spans="1:12" s="20" customFormat="1" ht="30.75" hidden="1">
      <c r="A436" s="14"/>
      <c r="B436" s="14">
        <v>150101</v>
      </c>
      <c r="C436" s="14"/>
      <c r="D436" s="15" t="s">
        <v>511</v>
      </c>
      <c r="E436" s="15" t="s">
        <v>331</v>
      </c>
      <c r="F436" s="17">
        <v>3463549</v>
      </c>
      <c r="G436" s="18">
        <f>100-(H436/F436*100)</f>
        <v>5.75568585863806</v>
      </c>
      <c r="H436" s="17">
        <v>3264198</v>
      </c>
      <c r="I436" s="17">
        <v>3264198</v>
      </c>
      <c r="J436" s="78"/>
      <c r="L436" s="78"/>
    </row>
    <row r="437" spans="1:12" s="20" customFormat="1" ht="15.75" hidden="1">
      <c r="A437" s="14"/>
      <c r="B437" s="14"/>
      <c r="C437" s="14"/>
      <c r="D437" s="15"/>
      <c r="E437" s="15" t="s">
        <v>513</v>
      </c>
      <c r="F437" s="17"/>
      <c r="G437" s="18" t="e">
        <f>100-(H437/F437*100)</f>
        <v>#DIV/0!</v>
      </c>
      <c r="H437" s="17"/>
      <c r="I437" s="19"/>
      <c r="J437" s="78"/>
      <c r="L437" s="78"/>
    </row>
    <row r="438" spans="1:12" s="20" customFormat="1" ht="30.75" hidden="1">
      <c r="A438" s="14"/>
      <c r="B438" s="14">
        <v>150101</v>
      </c>
      <c r="C438" s="14"/>
      <c r="D438" s="15" t="s">
        <v>511</v>
      </c>
      <c r="E438" s="15" t="s">
        <v>245</v>
      </c>
      <c r="F438" s="17">
        <v>3500000</v>
      </c>
      <c r="G438" s="18">
        <f>100-(H438/F438*100)</f>
        <v>0</v>
      </c>
      <c r="H438" s="17">
        <v>3500000</v>
      </c>
      <c r="I438" s="17">
        <v>3500000</v>
      </c>
      <c r="J438" s="78"/>
      <c r="L438" s="78"/>
    </row>
    <row r="439" spans="1:12" s="20" customFormat="1" ht="15.75" hidden="1">
      <c r="A439" s="14"/>
      <c r="B439" s="14"/>
      <c r="C439" s="14"/>
      <c r="D439" s="15"/>
      <c r="E439" s="15" t="s">
        <v>513</v>
      </c>
      <c r="F439" s="17"/>
      <c r="G439" s="18"/>
      <c r="H439" s="17"/>
      <c r="I439" s="19"/>
      <c r="J439" s="78"/>
      <c r="L439" s="78"/>
    </row>
    <row r="440" spans="1:12" s="20" customFormat="1" ht="33" customHeight="1" hidden="1">
      <c r="A440" s="23"/>
      <c r="B440" s="23">
        <v>94</v>
      </c>
      <c r="C440" s="23"/>
      <c r="D440" s="24" t="s">
        <v>290</v>
      </c>
      <c r="E440" s="29"/>
      <c r="F440" s="30">
        <f>F443</f>
        <v>2500000</v>
      </c>
      <c r="G440" s="31"/>
      <c r="H440" s="30"/>
      <c r="I440" s="25">
        <f>SUM(I441:I443)</f>
        <v>2500000</v>
      </c>
      <c r="J440" s="81">
        <f>'[1]Місто'!$O$496-I440</f>
        <v>-2500000</v>
      </c>
      <c r="L440" s="78"/>
    </row>
    <row r="441" spans="1:12" s="20" customFormat="1" ht="15.75" hidden="1">
      <c r="A441" s="14"/>
      <c r="B441" s="14" t="s">
        <v>508</v>
      </c>
      <c r="C441" s="14"/>
      <c r="D441" s="15" t="s">
        <v>509</v>
      </c>
      <c r="E441" s="15" t="s">
        <v>301</v>
      </c>
      <c r="F441" s="17"/>
      <c r="G441" s="18"/>
      <c r="H441" s="17"/>
      <c r="I441" s="17"/>
      <c r="J441" s="78"/>
      <c r="L441" s="78"/>
    </row>
    <row r="442" spans="1:12" s="20" customFormat="1" ht="21.75" customHeight="1" hidden="1">
      <c r="A442" s="14"/>
      <c r="B442" s="14" t="s">
        <v>261</v>
      </c>
      <c r="C442" s="14"/>
      <c r="D442" s="15" t="s">
        <v>284</v>
      </c>
      <c r="E442" s="15" t="s">
        <v>510</v>
      </c>
      <c r="F442" s="17"/>
      <c r="G442" s="18"/>
      <c r="H442" s="17"/>
      <c r="I442" s="17"/>
      <c r="J442" s="78"/>
      <c r="L442" s="78"/>
    </row>
    <row r="443" spans="1:12" s="20" customFormat="1" ht="30.75" hidden="1">
      <c r="A443" s="14"/>
      <c r="B443" s="14">
        <v>150101</v>
      </c>
      <c r="C443" s="14"/>
      <c r="D443" s="15" t="s">
        <v>511</v>
      </c>
      <c r="E443" s="92" t="s">
        <v>41</v>
      </c>
      <c r="F443" s="17">
        <v>2500000</v>
      </c>
      <c r="G443" s="18"/>
      <c r="H443" s="17">
        <v>2500000</v>
      </c>
      <c r="I443" s="19">
        <v>2500000</v>
      </c>
      <c r="J443" s="78"/>
      <c r="L443" s="78"/>
    </row>
    <row r="444" spans="1:12" s="26" customFormat="1" ht="35.25" customHeight="1" hidden="1">
      <c r="A444" s="23">
        <v>95</v>
      </c>
      <c r="B444" s="23">
        <v>95</v>
      </c>
      <c r="C444" s="23">
        <v>95</v>
      </c>
      <c r="D444" s="24" t="s">
        <v>291</v>
      </c>
      <c r="E444" s="24"/>
      <c r="F444" s="25">
        <f>SUM(F445:F448)</f>
        <v>0</v>
      </c>
      <c r="G444" s="25">
        <f>SUM(G445:G448)</f>
        <v>0</v>
      </c>
      <c r="H444" s="25">
        <f>SUM(H445:H448)</f>
        <v>0</v>
      </c>
      <c r="I444" s="25">
        <f>SUM(I445:I448)-I446</f>
        <v>0</v>
      </c>
      <c r="J444" s="75"/>
      <c r="K444" s="34"/>
      <c r="L444" s="75"/>
    </row>
    <row r="445" spans="1:12" s="20" customFormat="1" ht="20.25" customHeight="1" hidden="1">
      <c r="A445" s="14" t="s">
        <v>508</v>
      </c>
      <c r="B445" s="14" t="s">
        <v>508</v>
      </c>
      <c r="C445" s="14" t="s">
        <v>508</v>
      </c>
      <c r="D445" s="15" t="s">
        <v>509</v>
      </c>
      <c r="E445" s="15" t="s">
        <v>301</v>
      </c>
      <c r="F445" s="17"/>
      <c r="G445" s="18"/>
      <c r="H445" s="17"/>
      <c r="I445" s="19"/>
      <c r="J445" s="78"/>
      <c r="L445" s="78"/>
    </row>
    <row r="446" spans="1:12" s="20" customFormat="1" ht="18" customHeight="1" hidden="1">
      <c r="A446" s="14"/>
      <c r="B446" s="14"/>
      <c r="C446" s="14"/>
      <c r="D446" s="15"/>
      <c r="E446" s="15" t="s">
        <v>513</v>
      </c>
      <c r="F446" s="17"/>
      <c r="G446" s="18"/>
      <c r="H446" s="17"/>
      <c r="I446" s="19"/>
      <c r="J446" s="78"/>
      <c r="L446" s="78"/>
    </row>
    <row r="447" spans="1:12" s="20" customFormat="1" ht="17.25" customHeight="1" hidden="1">
      <c r="A447" s="14" t="s">
        <v>261</v>
      </c>
      <c r="B447" s="14" t="s">
        <v>261</v>
      </c>
      <c r="C447" s="14" t="s">
        <v>261</v>
      </c>
      <c r="D447" s="15" t="s">
        <v>284</v>
      </c>
      <c r="E447" s="15" t="s">
        <v>297</v>
      </c>
      <c r="F447" s="17"/>
      <c r="G447" s="18"/>
      <c r="H447" s="17"/>
      <c r="I447" s="19"/>
      <c r="J447" s="78"/>
      <c r="L447" s="78"/>
    </row>
    <row r="448" spans="1:12" s="20" customFormat="1" ht="30.75" hidden="1">
      <c r="A448" s="14" t="s">
        <v>285</v>
      </c>
      <c r="B448" s="14" t="s">
        <v>285</v>
      </c>
      <c r="C448" s="14" t="s">
        <v>285</v>
      </c>
      <c r="D448" s="15" t="s">
        <v>511</v>
      </c>
      <c r="E448" s="15" t="s">
        <v>292</v>
      </c>
      <c r="F448" s="17"/>
      <c r="G448" s="18"/>
      <c r="H448" s="17"/>
      <c r="I448" s="19"/>
      <c r="J448" s="78"/>
      <c r="L448" s="78"/>
    </row>
    <row r="449" spans="1:12" s="20" customFormat="1" ht="15.75" hidden="1">
      <c r="A449" s="14"/>
      <c r="B449" s="14"/>
      <c r="C449" s="14"/>
      <c r="D449" s="15"/>
      <c r="E449" s="15" t="s">
        <v>513</v>
      </c>
      <c r="F449" s="17"/>
      <c r="G449" s="18"/>
      <c r="H449" s="17"/>
      <c r="I449" s="19"/>
      <c r="J449" s="78"/>
      <c r="L449" s="78"/>
    </row>
    <row r="450" spans="1:12" s="26" customFormat="1" ht="42" customHeight="1" hidden="1">
      <c r="A450" s="23">
        <v>96</v>
      </c>
      <c r="B450" s="23">
        <v>96</v>
      </c>
      <c r="C450" s="23">
        <v>96</v>
      </c>
      <c r="D450" s="24" t="s">
        <v>293</v>
      </c>
      <c r="E450" s="24"/>
      <c r="F450" s="25"/>
      <c r="G450" s="27"/>
      <c r="H450" s="25"/>
      <c r="I450" s="25">
        <f>I451+I453</f>
        <v>0</v>
      </c>
      <c r="J450" s="75"/>
      <c r="L450" s="77"/>
    </row>
    <row r="451" spans="1:12" s="20" customFormat="1" ht="18" customHeight="1" hidden="1">
      <c r="A451" s="14" t="s">
        <v>508</v>
      </c>
      <c r="B451" s="14" t="s">
        <v>508</v>
      </c>
      <c r="C451" s="14" t="s">
        <v>508</v>
      </c>
      <c r="D451" s="15" t="s">
        <v>509</v>
      </c>
      <c r="E451" s="15" t="s">
        <v>301</v>
      </c>
      <c r="F451" s="17"/>
      <c r="G451" s="18"/>
      <c r="H451" s="17"/>
      <c r="I451" s="19"/>
      <c r="J451" s="78"/>
      <c r="L451" s="78"/>
    </row>
    <row r="452" spans="1:12" s="20" customFormat="1" ht="20.25" customHeight="1" hidden="1">
      <c r="A452" s="14"/>
      <c r="B452" s="14"/>
      <c r="C452" s="14"/>
      <c r="D452" s="15"/>
      <c r="E452" s="15" t="s">
        <v>513</v>
      </c>
      <c r="F452" s="17"/>
      <c r="G452" s="18"/>
      <c r="H452" s="17"/>
      <c r="I452" s="19"/>
      <c r="J452" s="78"/>
      <c r="L452" s="78"/>
    </row>
    <row r="453" spans="1:12" s="20" customFormat="1" ht="20.25" customHeight="1" hidden="1">
      <c r="A453" s="14">
        <v>100203</v>
      </c>
      <c r="B453" s="14">
        <v>100203</v>
      </c>
      <c r="C453" s="14">
        <v>100203</v>
      </c>
      <c r="D453" s="15" t="s">
        <v>284</v>
      </c>
      <c r="E453" s="15" t="s">
        <v>510</v>
      </c>
      <c r="F453" s="17"/>
      <c r="G453" s="18"/>
      <c r="H453" s="17"/>
      <c r="I453" s="19"/>
      <c r="J453" s="78"/>
      <c r="L453" s="78"/>
    </row>
    <row r="454" spans="1:12" s="20" customFormat="1" ht="33.75" customHeight="1" hidden="1">
      <c r="A454" s="14" t="s">
        <v>243</v>
      </c>
      <c r="B454" s="14" t="s">
        <v>243</v>
      </c>
      <c r="C454" s="14" t="s">
        <v>243</v>
      </c>
      <c r="D454" s="15" t="s">
        <v>244</v>
      </c>
      <c r="E454" s="15" t="s">
        <v>510</v>
      </c>
      <c r="F454" s="17"/>
      <c r="G454" s="18"/>
      <c r="H454" s="17"/>
      <c r="I454" s="19"/>
      <c r="J454" s="78"/>
      <c r="L454" s="78"/>
    </row>
    <row r="455" spans="1:16" s="26" customFormat="1" ht="21" customHeight="1">
      <c r="A455" s="32"/>
      <c r="B455" s="32"/>
      <c r="C455" s="32"/>
      <c r="D455" s="33" t="s">
        <v>294</v>
      </c>
      <c r="E455" s="33"/>
      <c r="F455" s="28"/>
      <c r="G455" s="28"/>
      <c r="H455" s="28"/>
      <c r="I455" s="28">
        <f>I309+I371</f>
        <v>55034936</v>
      </c>
      <c r="J455" s="75">
        <f>'[1]Місто'!$O$562-I455</f>
        <v>-55034936</v>
      </c>
      <c r="K455" s="76"/>
      <c r="L455" s="75"/>
      <c r="P455" s="34"/>
    </row>
    <row r="456" spans="1:9" s="20" customFormat="1" ht="18" customHeight="1">
      <c r="A456" s="65"/>
      <c r="B456" s="65"/>
      <c r="C456" s="65"/>
      <c r="D456" s="66"/>
      <c r="E456" s="66"/>
      <c r="F456" s="65"/>
      <c r="G456" s="65"/>
      <c r="H456" s="65"/>
      <c r="I456" s="67"/>
    </row>
    <row r="457" spans="1:9" s="20" customFormat="1" ht="27.75">
      <c r="A457" s="65"/>
      <c r="B457" s="65"/>
      <c r="C457" s="65"/>
      <c r="D457" s="68" t="s">
        <v>295</v>
      </c>
      <c r="E457" s="66"/>
      <c r="F457" s="65"/>
      <c r="G457" s="65"/>
      <c r="H457" s="69" t="s">
        <v>296</v>
      </c>
      <c r="I457" s="67"/>
    </row>
    <row r="459" ht="15" hidden="1"/>
    <row r="460" spans="7:8" ht="15" hidden="1">
      <c r="G460" s="1">
        <v>10116</v>
      </c>
      <c r="H460" s="70">
        <f>I12+I114+I330+I340+I409+I419+I414+I431+I441+I445+I451</f>
        <v>4411908</v>
      </c>
    </row>
    <row r="461" spans="7:8" ht="15" hidden="1">
      <c r="G461" s="1">
        <v>70000</v>
      </c>
      <c r="H461" s="70">
        <f>I20+I22+I24+I26+I30</f>
        <v>9297590</v>
      </c>
    </row>
    <row r="462" spans="7:8" ht="15" hidden="1">
      <c r="G462" s="1">
        <v>80000</v>
      </c>
      <c r="H462" s="70">
        <f>I66+I68+I70+I72+I74</f>
        <v>16755446</v>
      </c>
    </row>
    <row r="463" spans="7:8" ht="15" hidden="1">
      <c r="G463" s="1">
        <v>90000</v>
      </c>
      <c r="H463" s="70">
        <f>I118+I120</f>
        <v>594079</v>
      </c>
    </row>
    <row r="464" spans="7:8" ht="15" hidden="1">
      <c r="G464" s="1">
        <v>110000</v>
      </c>
      <c r="H464" s="70">
        <f>I131+I133+I135+I137+I139</f>
        <v>1950108</v>
      </c>
    </row>
    <row r="465" spans="7:8" ht="15" hidden="1">
      <c r="G465" s="1">
        <v>100203</v>
      </c>
      <c r="H465" s="70">
        <f>I157+I416</f>
        <v>1940965</v>
      </c>
    </row>
    <row r="466" spans="7:8" ht="15" hidden="1">
      <c r="G466" s="1">
        <v>250404</v>
      </c>
      <c r="H466" s="70">
        <f>I160</f>
        <v>481398</v>
      </c>
    </row>
    <row r="467" spans="7:8" ht="15" hidden="1">
      <c r="G467" s="1">
        <v>210000</v>
      </c>
      <c r="H467" s="70">
        <f>I385+I386</f>
        <v>1531097</v>
      </c>
    </row>
    <row r="468" spans="7:8" ht="15" hidden="1">
      <c r="G468" s="1">
        <v>171000</v>
      </c>
      <c r="H468" s="70">
        <f>I369</f>
        <v>8536295</v>
      </c>
    </row>
    <row r="469" spans="7:8" ht="15" hidden="1">
      <c r="G469" s="1">
        <v>180409</v>
      </c>
      <c r="H469" s="70">
        <f>I309+I371</f>
        <v>55034936</v>
      </c>
    </row>
    <row r="470" spans="7:8" ht="15" hidden="1">
      <c r="G470" s="1">
        <v>150101</v>
      </c>
      <c r="H470" s="70" t="e">
        <f>I448+I438+I436+#REF!+#REF!+#REF!+#REF!+I429+I426+I424+I422+#REF!+I402+I398+I393+I392+I389+I363+I362+I307+#REF!+#REF!+#REF!+#REF!+#REF!+#REF!+#REF!+#REF!+#REF!+#REF!+#REF!+#REF!+#REF!+#REF!+#REF!+#REF!+#REF!+#REF!+#REF!+#REF!+#REF!+#REF!+#REF!+#REF!+#REF!+#REF!+#REF!+#REF!+#REF!+#REF!+#REF!+#REF!+#REF!+#REF!+#REF!+#REF!+#REF!+#REF!+#REF!+#REF!+#REF!+#REF!+#REF!+#REF!+#REF!+#REF!+#REF!+#REF!+#REF!+#REF!+#REF!+#REF!+#REF!+#REF!+#REF!+#REF!+#REF!+#REF!+#REF!+#REF!+#REF!+#REF!+#REF!+#REF!+#REF!+#REF!+#REF!+#REF!+#REF!+#REF!+#REF!+#REF!+#REF!+#REF!+#REF!+#REF!+#REF!+I297+I189+I187+I185+I175+I173+I170+I167+I165+I163+I147+I141+I126+I104+I102+I101+I100+I98+I96+I91+I89+I88+I87+I85+I83+I82+I80+I78+I57+I53+I51+I49+I47+I45+I43+I41+I39+I37+I15</f>
        <v>#REF!</v>
      </c>
    </row>
    <row r="471" ht="15" hidden="1"/>
  </sheetData>
  <sheetProtection selectLockedCells="1" selectUnlockedCells="1"/>
  <mergeCells count="1">
    <mergeCell ref="C6:I6"/>
  </mergeCells>
  <printOptions/>
  <pageMargins left="0.4724409448818898" right="0.31496062992125984" top="0.5905511811023623" bottom="0.2755905511811024" header="0.4724409448818898" footer="0.3937007874015748"/>
  <pageSetup fitToHeight="44" fitToWidth="1" horizontalDpi="600" verticalDpi="600" orientation="landscape" paperSize="9" scale="61" r:id="rId1"/>
  <headerFooter alignWithMargins="0">
    <oddHeader>&amp;C&amp;P</oddHeader>
  </headerFooter>
  <rowBreaks count="2" manualBreakCount="2">
    <brk id="111" max="8" man="1"/>
    <brk id="174"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2015-06-12T10:37:29Z</cp:lastPrinted>
  <dcterms:created xsi:type="dcterms:W3CDTF">2013-02-22T14:02:03Z</dcterms:created>
  <dcterms:modified xsi:type="dcterms:W3CDTF">2015-06-17T08:06:14Z</dcterms:modified>
  <cp:category/>
  <cp:version/>
  <cp:contentType/>
  <cp:contentStatus/>
</cp:coreProperties>
</file>