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5375" windowHeight="8235" tabRatio="479" activeTab="0"/>
  </bookViews>
  <sheets>
    <sheet name="лист" sheetId="1" r:id="rId1"/>
    <sheet name="власні надходж" sheetId="2" state="hidden" r:id="rId2"/>
    <sheet name="в т.ч.погашення" sheetId="3" state="hidden" r:id="rId3"/>
  </sheets>
  <definedNames>
    <definedName name="_xlnm.Print_Area" localSheetId="2">'в т.ч.погашення'!$A$1:$G$319</definedName>
    <definedName name="_xlnm.Print_Area" localSheetId="1">'власні надходж'!$A$1:$H$329</definedName>
    <definedName name="_xlnm.Print_Area" localSheetId="0">'лист'!$A$1:$H$447</definedName>
  </definedNames>
  <calcPr fullCalcOnLoad="1"/>
</workbook>
</file>

<file path=xl/sharedStrings.xml><?xml version="1.0" encoding="utf-8"?>
<sst xmlns="http://schemas.openxmlformats.org/spreadsheetml/2006/main" count="2275" uniqueCount="578">
  <si>
    <t>Програма "Позашкільна освіта" (в тому числі погашення кредиторської заборгованості)</t>
  </si>
  <si>
    <t>Програма "Фізична культура та спорт" (в тому числі погашення заборгованості минулого року)</t>
  </si>
  <si>
    <t>Програма підтримки сім'ї та молоді м. Запоріжжя ( в тому числі погашення кредиторської заборгованості)</t>
  </si>
  <si>
    <t>Програма "Фізична культура та спорт"(в тому сичлі погашення кредиторської заборгованості)</t>
  </si>
  <si>
    <t>Програма "Про забезпечення екологічної безпеки міста на 2013-2015 роки" ( в тому числі погашення заборгованості минулого року)</t>
  </si>
  <si>
    <t>"Програма розвитку охорони здоров'я міста Запоріжжя" на період 2013-2015 років (в тому числі погашення заборгованості минулого року)</t>
  </si>
  <si>
    <t>Міська комплексна програма соціального захисту населення міста Запоріжжя (в тому числі погашення заборгованості минулого року)</t>
  </si>
  <si>
    <t>Програма "Здійснення соціальної роботи з дітьми, молоддю та сім'ями м. Запоріжжя, які опинились у складних життєвих обставинах та потребують сторонньої допомоги" (в тому числі погашення заборгованості минулого року)</t>
  </si>
  <si>
    <t>Міська програма "Розвиток культури і мистецтв у місті Запоріжжя на 2013-2015 роки"  (в тому числі погашення  заборгованості минулого року)</t>
  </si>
  <si>
    <t>Міська програма "Розвиток культури і мистецтв у місті Запоріжжя на 2013-2015 роки"  (в тому числі погашення заборгованості минулого року)</t>
  </si>
  <si>
    <t>Програма реконструкції ринку Соцміста КП "Запоріжринок" по вул.Рекордна, 2  у м.Запоріжжя на 2014 рік (в тому числі погашення забргованості минулого року)</t>
  </si>
  <si>
    <t xml:space="preserve"> Програма сприяння розвитку малого та середнього підприємництва у місті Запоріжжі на 2013-2015 роки ( в тому числі погашення заборгованості минулого року)</t>
  </si>
  <si>
    <t>Міська цільова програма житлового будівництва та придбання житла для окремих категорій населення на 2013-2015 роки ( в тому числі погашення заборгованості минулого року)</t>
  </si>
  <si>
    <t>Міська програма надання цільової фінансової підтримки громадянам на первинний внесок для отримання іпотечних житлових кредитів на будівництво чи придбання доступного житла на території м.Запоріжжі на 2013-2015 року ( в тому числі погашення заборгованості минулого року)</t>
  </si>
  <si>
    <t>Міська цільова програма підвищення ефективності та посилення контролю за станом громадського порядку (в тому числі погашення заборгованості минулого року)</t>
  </si>
  <si>
    <t>Перелік місцевих програм, які фінансуватимуться за рахунок коштів бюджету міста у 2014 році</t>
  </si>
  <si>
    <t xml:space="preserve">Програма "Організація та проведення заходів щодо відзначення загальнодержавних, міських та районних свят ", затверджена рішенням міської ради від     № </t>
  </si>
  <si>
    <t xml:space="preserve">Програма підтримки діяльності органів самоорганізації населення міста Запоріжжя, затверджена рішенням міської ради від       № </t>
  </si>
  <si>
    <t>Програма сприяння органів місцевого самоврядування призову громадян у 2013 році, затверджена рішенням міської ради від 23.02.2012 № 19 зі змінами (у тому числі погашення заборгованості за минулий рік)</t>
  </si>
  <si>
    <t>Програма проведення в м.Запоріжжі Покровського ярмарку, затверджена рішенням міської ради від 24.12.2012 № 35 зі змінами ( у тому числі погашення заборгованості за минулий рік)</t>
  </si>
  <si>
    <t>Програма зайнятості населення міста Запоріжжя на період до 2017 року, затверджена рішенням міської ради від 29.05.2013 № 13 (зі змінами)</t>
  </si>
  <si>
    <t>комітети</t>
  </si>
  <si>
    <t>призов</t>
  </si>
  <si>
    <t>свята</t>
  </si>
  <si>
    <t>дератизація</t>
  </si>
  <si>
    <t>інвентариз</t>
  </si>
  <si>
    <t>охорона</t>
  </si>
  <si>
    <t xml:space="preserve">Програма підтримки муніципального кредитного рейтингу, затверджена рішенням міської ради від   № </t>
  </si>
  <si>
    <t xml:space="preserve">Програма "Про забезпечення екологічної безпеки міста на 2014-2016 роки", затверджена рішенням міської ради від     № </t>
  </si>
  <si>
    <t>ярмарка</t>
  </si>
  <si>
    <t>зайнятість</t>
  </si>
  <si>
    <t xml:space="preserve">спец не считает </t>
  </si>
  <si>
    <t xml:space="preserve">рейтинг </t>
  </si>
  <si>
    <t xml:space="preserve">Міська цільова програма надання автотранспортних та господарських послуг структурним підрозділам та виконавчому комітету міської ради, затверджена рішенням міської ради від    №  </t>
  </si>
  <si>
    <t>автогосп</t>
  </si>
  <si>
    <t xml:space="preserve">Програма  використання коштів цільового фонду міської ради на 2014 рік, затверджена рішенням міської ради від  № </t>
  </si>
  <si>
    <t xml:space="preserve">Програма  використання коштів цільового фонду міської ради на 2014 рік, затверджена рішенням міської ради від № </t>
  </si>
  <si>
    <t>газета СІЧ</t>
  </si>
  <si>
    <t>Міська цільова програма впровадження та забезпечення працездатності систем об'єктивного відео спостереження у м.Запоріжжі, затверджена рішенням міської ради від     №</t>
  </si>
  <si>
    <t>Міська цільова програма забезпечення участі Запорізької міської ради  в Асоціації міст України, Всеукраїнській громадській організації "Асоціація фінансистів України" та Асоціації "Международная Ассамблея столиц и крупных городов", затверджена рішенням міської ради від       №</t>
  </si>
  <si>
    <t>асоціація городов</t>
  </si>
  <si>
    <t>відео спостереж</t>
  </si>
  <si>
    <t>телеканал МТМ</t>
  </si>
  <si>
    <t>сприяння підприємництво</t>
  </si>
  <si>
    <t>целевой фонд</t>
  </si>
  <si>
    <t xml:space="preserve">Програма "Інвентаризація та державна реєстрація об'єктів права комунальної власності територіальної громади м. Запоріжжя на 2014 рік", затверджена рішенням міської ради від   №  </t>
  </si>
  <si>
    <t xml:space="preserve">Програма "Інвентаризація та державна реєстрація об'єктів права комунальної власності територіальної громади м. Запоріжжя на 2014 рік", затверджена рішенням міської ради від             № </t>
  </si>
  <si>
    <t>070803</t>
  </si>
  <si>
    <t>раціон використ</t>
  </si>
  <si>
    <t>аукціони</t>
  </si>
  <si>
    <t>кадастр</t>
  </si>
  <si>
    <t xml:space="preserve"> Програма "Фінансування заходів з дератизації відкритих стацій та дезінсекції анофелогенних водоймищ м.Запоріжжя ", затверджена рішенням міської ради від     № </t>
  </si>
  <si>
    <t>розв і утриман ЖКХ</t>
  </si>
  <si>
    <t>освіта</t>
  </si>
  <si>
    <t>оздор та відпочинок</t>
  </si>
  <si>
    <t>позашкільна</t>
  </si>
  <si>
    <t>фізкультура</t>
  </si>
  <si>
    <t>підтримка сімї та молоді</t>
  </si>
  <si>
    <t>розв ОХОРОНИ ЗДОРОВЯ</t>
  </si>
  <si>
    <t>розв КУЛЬТУРИ і Мистецтв</t>
  </si>
  <si>
    <t>кінообслуговування</t>
  </si>
  <si>
    <t>святкові заходи та акції</t>
  </si>
  <si>
    <t>МКП  соцзахисту</t>
  </si>
  <si>
    <t>реконструк обєктів соц сфери</t>
  </si>
  <si>
    <t>ЗапоріжЕлектроТранс</t>
  </si>
  <si>
    <t>АЕРОПОРТ</t>
  </si>
  <si>
    <t>безпека дорож руху на шляхах</t>
  </si>
  <si>
    <t>ЕКОбезпека</t>
  </si>
  <si>
    <t xml:space="preserve">Міська цільова програма "Забезпечення належної, стабільної роботи і розвитку комунального підприємства "Муніципальна телевізійна мережа" (Телеканал "МТМ")", затверджена рішенням міської ради від      № </t>
  </si>
  <si>
    <t>Міська цільова програма впровадження та забезпечення працездатності систем об'єктивного відеоспостереження у м.Запоріжжі, затверджена рішенням міської ради від     №</t>
  </si>
  <si>
    <t>150202</t>
  </si>
  <si>
    <t xml:space="preserve">Міська комплексна програма соціального захисту населення міста Запоріжжя, затверджена рішенням міської ради від      №   </t>
  </si>
  <si>
    <t xml:space="preserve">Міська комплексна програма соціального захисту населення міста Запоріжжя, затверджена рішенням міської ради від     №   </t>
  </si>
  <si>
    <t>Програма реконструкції ринку Соцміста КП "Запоріжринок" по вул.Рекордній, 2  у м.Запоріжжя на 2014 рік, затверджена рішенням міської ради від      №</t>
  </si>
  <si>
    <t>Міська цільова програма підвищення ефективності та посилення контролю за станом громадського порядку, затверджена рішенням міської ради від 24.04.2013 №38 (у тому числі погашення заборгованості минулого року)</t>
  </si>
  <si>
    <t>Розробка схем та проектних рішень масового застосування</t>
  </si>
  <si>
    <t>Програма економічного і соціального розвитку м.Запоріжжя на 2014 рік, затверджена рішенням міської ради від      №</t>
  </si>
  <si>
    <t xml:space="preserve">"Програма розвитку охорони здоров'я міста Запоріжжя" на період 2014-2016 роки, затверджена рішенням міської ради від     № </t>
  </si>
  <si>
    <t>081003</t>
  </si>
  <si>
    <t>Служби технічного нагляду за будівництвом та капітальним ремонтом, централізовані бухгалтерії,</t>
  </si>
  <si>
    <t xml:space="preserve">Програма розвитку та утримання житлово-комунального господарства м.Запоріжжя на 2014-2016 роки, затверджена рішенням міської ради від     № </t>
  </si>
  <si>
    <t>100103</t>
  </si>
  <si>
    <t>Фінансова підтримка обєктів житлово-комунального господарства</t>
  </si>
  <si>
    <t xml:space="preserve">Міська програма надання цільової фінансової підтримки громадянам на первинний внесок для отримання іпотечних житлових кредитів на будівництво чи придбання доступного житла на території м.Запоріжжі на 2014-2016 рік затвердженого рішенням міської ради від     №  </t>
  </si>
  <si>
    <t xml:space="preserve">Міська цільова програма "Забезпечення належної та безперебійної роботи Запорізького комунального підприємства міського електротранспорту "Запоріжелектротранс", затверджена рішенням міської ради від     №  </t>
  </si>
  <si>
    <t xml:space="preserve">Міська цільова програма "Забезпечення належної та безперебійної роботи комунального підприємства "Міжнародний аеропорт Запоріжжя", затверджена рішенням міської ради від    №  </t>
  </si>
  <si>
    <t xml:space="preserve">Міська цільова програма запобігання та ліквідації надзвичайних ситуацій техногенного та природного характеру, організація рятування на водах на 2014-2016 роки, затверджена рішенням міської ради від      № </t>
  </si>
  <si>
    <t xml:space="preserve">Міська цільова Програма "Будівництво, реконструкція та ліквідація аварійного стану об'єктів міста Запоріжжя на 2014-2016 роки", затверджена рішенням міської ради від      № </t>
  </si>
  <si>
    <t>Цільова комплексна програма забезпечення молоді міста Запоріжжя житлом, затверджена рішенням міської ради від      №</t>
  </si>
  <si>
    <t xml:space="preserve">Програма "Освіта", затверджена рішенням міської ради від            № </t>
  </si>
  <si>
    <t xml:space="preserve">Програма "Позашкільна освіта", затверджена рішенням міської ради від             № </t>
  </si>
  <si>
    <t xml:space="preserve">Програма "Фізична культура та спорт", затверджена рішенням міської ради від             № </t>
  </si>
  <si>
    <t xml:space="preserve">Програма "Освіта", затверджена рішенням міської ради від       № </t>
  </si>
  <si>
    <t xml:space="preserve">Програма "Позашкільна освіта", затверджена рішенням міської ради від          № </t>
  </si>
  <si>
    <t xml:space="preserve">Програма "Фізична культура та спорт", затверджена рішенням міської ради від        № </t>
  </si>
  <si>
    <t xml:space="preserve">Міська комплексна програма соціального захисту населення міста Запоріжжя, затверджена рішенням міської ради від       № </t>
  </si>
  <si>
    <t xml:space="preserve">Міська комплексна програма соціального захисту населення міста Запоріжжя, затверджена рішенням міської ради від          № </t>
  </si>
  <si>
    <t xml:space="preserve">Міська комплексна програма соціального захисту населення міста Запоріжжя, затверджена рішенням міської ради від            № </t>
  </si>
  <si>
    <t>Міська програма "Загальноміські святкові заходи та акції на 2014 рік" затверджена рішенням міської ради від        №</t>
  </si>
  <si>
    <t xml:space="preserve">Програма розвитку та утримання житлово-комунального господарства м.Запоріжжя на 2014-2016 роки, затверджена рішенням міської ради від              № </t>
  </si>
  <si>
    <t xml:space="preserve">Програма розвитку та утримання житлово-комунального господарства м.Запоріжжя на 2014-2016 роки, затверджена рішенням міської ради від             № </t>
  </si>
  <si>
    <t xml:space="preserve">Програма розвитку та утримання житлово-комунального господарства м.Запоріжжя на 2014-2016 роки, затверджена рішенням міської ради від           № </t>
  </si>
  <si>
    <t xml:space="preserve">Програма розвитку та утримання житлово-комунального господарства м.Запоріжжя на 2014-2016 роки, затверджена рішенням міської ради від         № </t>
  </si>
  <si>
    <t xml:space="preserve">Програма розвитку та утримання житлово-комунального господарства м.Запоріжжя на 2014-2016 роки, затверджена рішенням міської ради від      № </t>
  </si>
  <si>
    <t xml:space="preserve">Програма розвитку та утримання житлово-комунального господарства м.Запоріжжя на 2014-2016 роки, затверджена рішенням міської ради від            № </t>
  </si>
  <si>
    <t xml:space="preserve">Міська цільова програма житлового будівництва та придбання житла для окремих категорій населення на 2014-2016 роки, затверджена рішенням міської ради від          № </t>
  </si>
  <si>
    <t xml:space="preserve">Програма розвитку та утримання житлово-комунального господарства м.Запоріжжя на 2014-2016 роки, затверджена рішенням міської ради від        № </t>
  </si>
  <si>
    <t xml:space="preserve">Програма розвитку та утримання житлово-комунального господарства м.Запоріжжя на 2014-2016 роки, затверджена рішенням міської ради від       № </t>
  </si>
  <si>
    <t xml:space="preserve">Програма "Освіта", затверджена рішенням міської ради від          №   </t>
  </si>
  <si>
    <t xml:space="preserve">Програма "Оздоровлення та відпочинок", затверджена рішенням міської ради від           №  </t>
  </si>
  <si>
    <t>Програма "Позашкільна освіта", затверджена рішенням міської ради від            №</t>
  </si>
  <si>
    <t xml:space="preserve">Програма "Оздоровлення та відпочинок", затверджена рішенням міської ради від             №  </t>
  </si>
  <si>
    <t>Програма "Фізична культура та спорт", затверджена рішенням міської ради від               №</t>
  </si>
  <si>
    <t xml:space="preserve">Програма підтримки сім'ї та молоді м. Запоріжжя, затверджена рішенням міської ради від              № </t>
  </si>
  <si>
    <t>Програма раціонального використання території та комплексного містобудівного розвитку міста, затверджена рішенням міської ради від 31.01.2014 №22  (зі змінами)</t>
  </si>
  <si>
    <t>Служби технічного нагляду за будівництвом та капітальним ремонтом</t>
  </si>
  <si>
    <t xml:space="preserve">Поліклініки і амбулаторії </t>
  </si>
  <si>
    <t>Загальні та спеціалізовані стоматологічні поліклініки (крім спеціалізованих поліклінік та загальних і спеціалізованих стоматологічних поліклінік)</t>
  </si>
  <si>
    <t xml:space="preserve">Міська цільова програма роботи і розвитку газети Запорізької міської ради "Запорозька Січ", затверджена рішенням міської ради від  30.01.2014 № 14 (зі змінами) </t>
  </si>
  <si>
    <t>"Програма розвитку охорони здоров'я міста Запоріжжя" на період 2013-2015 роки, затверджена рішенням міської ради від 31.01.2014 № 26 (зі змінами та доповненнями)</t>
  </si>
  <si>
    <t>Міська програма "Розвиток культури і мистецтв у місті Запоріжжя на 2013-2015 роки", затверджена рішенням міської ради від 30.01.2013 № 40 (зі змінами та доповненнями)</t>
  </si>
  <si>
    <t>Програма "Освіта", затверджена рішенням міської ради від 31.01.2014 № 27 (зі змінами та доповненнями)</t>
  </si>
  <si>
    <t>Програма "Оздоровлення та відпочинок", затверджена рішенням міської ради від  31.01.2014 № 27 (зі змінами та доповненнями)</t>
  </si>
  <si>
    <t>Програма "Позашкільна освіта", затверджена рішенням міської ради від  31.01.2014 № 27 (зі змінами та доповненнями)</t>
  </si>
  <si>
    <t xml:space="preserve">Програма "Оздоровлення та відпочинок", затверджена рішенням міської ради від 31.01.2014 № 27 (зі змінами та доповненнями) </t>
  </si>
  <si>
    <t>Програма "Фізична культура та спорт", затверджена рішенням міської ради від 31.01.2014 № 27 (зі змінами та доповненнями)</t>
  </si>
  <si>
    <t>Програма розвитку туризму у місті Запоріжжя на 2014 - 2016 роки, затверджена рішенням міської ради від 23.04.2014 № 20 (зі змінами та доповненнями)</t>
  </si>
  <si>
    <t>Програма "Розвитку ендопротезування великих суглобів в місті Запоріжжі на 2013-2017 роки" затверджена рішенням міської ради від 24.12.2012 № 54 (зі змінами та доповненнями)</t>
  </si>
  <si>
    <t xml:space="preserve"> Програма сприяння розвитку малого та середнього підприємництва у місті Запоріжжі на 2013-2015 роки, затверджена рішенням міської ради від 24.12.2012 № 87 (зі змінами) - погашення кредиторської заборгованості за минулий рік</t>
  </si>
  <si>
    <r>
      <t>Програма підтримки сім'ї та молоді м. Запоріжжя, затверджена рішенням міської ради від 31.01.2014  № 27 (зі змінами) -</t>
    </r>
    <r>
      <rPr>
        <sz val="12"/>
        <color indexed="10"/>
        <rFont val="Times New Roman"/>
        <family val="1"/>
      </rPr>
      <t xml:space="preserve"> погашення кредиторської заборгованості за минулий рік</t>
    </r>
  </si>
  <si>
    <t>Програма економічного і соціального розвитку м.Запоріжжя на 2015 рік, затверджена рішенням міської ради від 15.01.2015 № 4</t>
  </si>
  <si>
    <t>Програма  використання коштів цільового фонду міської ради на 2015 рік, затверджена рішенням міської ради від  15.01.2015 № 6</t>
  </si>
  <si>
    <t>Програма "Інвентаризація та державна реєстрація об'єктів права комунальної власності територіальної громади м. Запоріжжя на 2015 рік", затверджена рішенням міської ради від 15.01.2015 № 21</t>
  </si>
  <si>
    <t>Програма підтримки сім'ї та молоді м.Запоріжжя на 2015 рік, затверджена рішенням міської ради від 15.01.2015 № 27</t>
  </si>
  <si>
    <t>Програма "Про забезпечення екологічної безпеки міста на 2015-2017 роки", затверджена рішенням міської ради від  15.01.2015 № 17</t>
  </si>
  <si>
    <t>Програма використання коштів депутатського фонду у 2015 році, затверджена рішенням міської ради від  15.01.2015 № 5</t>
  </si>
  <si>
    <t xml:space="preserve"> Програма сприяння розвитку малого та середнього підприємництва у місті Запоріжжі на 2015-2017 роки, затверджена рішенням міської ради від 15.01.2015 № 18</t>
  </si>
  <si>
    <t>Програма розвитку та утримання житлово-комунального господарства м.Запоріжжя на 2015-2017 роки, затверджена рішенням міської ради від 15.01.2015 № 15</t>
  </si>
  <si>
    <t>Міська цільова програма запобігання і ліквідації надзвичайних ситуацій техногенного та природного характеру, організація рятування на водах на 2015-2017 роки, затверджена рішенням міської ради від 15.01.2015 № 16</t>
  </si>
  <si>
    <t xml:space="preserve">Програма економічного і соціального розвитку м.Запоріжжя на 2015 рік, затверджена рішенням міської ради від 15.01.2015 № 4  </t>
  </si>
  <si>
    <r>
      <t>Програма розвитку та утримання житлово-комунального господарства м.Запоріжжя на 2015-2017 роки, затверджена рішенням міської ради від 15.01.2015 № 15  -</t>
    </r>
    <r>
      <rPr>
        <sz val="12"/>
        <color indexed="10"/>
        <rFont val="Times New Roman"/>
        <family val="1"/>
      </rPr>
      <t>погашення кредиторської заборгованості за минулий рік</t>
    </r>
  </si>
  <si>
    <t>Міська комплексна програма соціального захисту населення міста Запоріжжя, затверджена рішенням міської ради від 15.01.2015 № 29</t>
  </si>
  <si>
    <r>
      <t xml:space="preserve">Програма економічного і соціального розвитку м.Запоріжжя на 2014 рік, затверджена рішенням міської ради від 31.01.2014 № 4  - </t>
    </r>
    <r>
      <rPr>
        <sz val="12"/>
        <color indexed="10"/>
        <rFont val="Times New Roman"/>
        <family val="1"/>
      </rPr>
      <t xml:space="preserve">погашення кредиторської заборгованості за </t>
    </r>
    <r>
      <rPr>
        <sz val="12"/>
        <rFont val="Times New Roman"/>
        <family val="1"/>
      </rPr>
      <t>минулий рік</t>
    </r>
  </si>
  <si>
    <t>Програма "Фінансова підтримка комунального спортивно-видовищного підприємства "Юність" на 2015 рік, затверджена рішенням міської ради від 15.01.2015 № 27</t>
  </si>
  <si>
    <t>Міська програма "Загальноміські святкові заходи та акції на 2015 рік", затверджена рішенням міської ради від 15.01.2015 № 30</t>
  </si>
  <si>
    <t>Міська цільова програма "Будівництво, реконструкція та ліквідація аварійного стану об'єктів міста Запоріжжя на 2015-2017 роки", затверджена рішенням міської ради від 15.01.2015 № 9</t>
  </si>
  <si>
    <t>Міська цільова програма "Будівництво, реконструкція та ліквідація аварійного стану об'єктів міста Запоріжжя на 2015-2017 роки", затверджена рішенням міської ради від  15.01.2015 № 9</t>
  </si>
  <si>
    <r>
      <t xml:space="preserve">Програма "Інвентаризація та державна реєстрація об'єктів права комунальної власності територіальної громади м. Запоріжжя на 2014 рік", затверджена рішенням міської ради від 31.01.2014 № 15 </t>
    </r>
    <r>
      <rPr>
        <sz val="12"/>
        <color indexed="60"/>
        <rFont val="Times New Roman"/>
        <family val="1"/>
      </rPr>
      <t>- погашення кредиторської заборгованості за минулий рік</t>
    </r>
  </si>
  <si>
    <r>
      <rPr>
        <sz val="12"/>
        <rFont val="Times New Roman"/>
        <family val="1"/>
      </rPr>
      <t xml:space="preserve">Міська програма "Загальноміські святкові заходи та акції на 2014 рік", затверджена рішенням міської ради від 31.01.2014 №  25 (зі змінами та доповненнями) - </t>
    </r>
    <r>
      <rPr>
        <sz val="12"/>
        <color indexed="61"/>
        <rFont val="Times New Roman"/>
        <family val="1"/>
      </rPr>
      <t>погашення кредиторської заборгованості за минулий рік</t>
    </r>
  </si>
  <si>
    <t xml:space="preserve"> Програма "Фінансування заходів з дератизації відкритих стацій та дезінсекції анофелогенних водоймищ м.Запоріжжя ", затверджена рішенням міської ради від 15.01.2015 № 32</t>
  </si>
  <si>
    <t xml:space="preserve">Програма розвитку та утримання житлово-комунального господарства м.Запоріжжя на 2015-2017 роки, затверджена рішенням міської ради від 15.01.2015 № 15 </t>
  </si>
  <si>
    <t>Програма  використання коштів цільового фонду міської ради на 2015 рік, затверджена рішенням міської ради від 15.01.2015 № 6</t>
  </si>
  <si>
    <r>
      <t>Програма економічного і соціального розвитку м.Запоріжжя на 2014 рік, затверджена рішенням міської ради від 31.01.2014  №  4 -</t>
    </r>
    <r>
      <rPr>
        <sz val="12"/>
        <color indexed="10"/>
        <rFont val="Times New Roman"/>
        <family val="1"/>
      </rPr>
      <t xml:space="preserve"> погашення кредиторської заборгованості за </t>
    </r>
    <r>
      <rPr>
        <sz val="12"/>
        <rFont val="Times New Roman"/>
        <family val="1"/>
      </rPr>
      <t>минулий рік</t>
    </r>
  </si>
  <si>
    <t>Програма сприяння органів місцевого самоврядування призову громадян та забезпечення проведення заходів з мобілізації у м.Запоріжжі на 2015 рік, затверджена рішенням міської ради від 15.01.2015 № 31</t>
  </si>
  <si>
    <t>Міська цільова програма "Фінансова допомога комунальному підприємству "Управління капітального будівництва" у 2015 році</t>
  </si>
  <si>
    <t>Програма забезпечення проведення аукціонів з продажу права оренди та у власність земельних ділянок на території м.Запоріжжя, затверджена рішенням міської ради від 31.01.2014 № 21</t>
  </si>
  <si>
    <t>Міська цільова програма "Нове будівництво інформаційних систем та телекомунікаційних мереж в м. Запоріжжі", затверджена рішенням від   2015 №</t>
  </si>
  <si>
    <t>0111</t>
  </si>
  <si>
    <t>0830</t>
  </si>
  <si>
    <t>0490</t>
  </si>
  <si>
    <t>0133</t>
  </si>
  <si>
    <t>0910</t>
  </si>
  <si>
    <t>0921</t>
  </si>
  <si>
    <t>0960</t>
  </si>
  <si>
    <t>0990</t>
  </si>
  <si>
    <t>1040</t>
  </si>
  <si>
    <t>0810</t>
  </si>
  <si>
    <t>0411</t>
  </si>
  <si>
    <t>0540</t>
  </si>
  <si>
    <t>0511</t>
  </si>
  <si>
    <t>1060</t>
  </si>
  <si>
    <t>0731</t>
  </si>
  <si>
    <t>0733</t>
  </si>
  <si>
    <t>0721</t>
  </si>
  <si>
    <t>0722</t>
  </si>
  <si>
    <t>0726</t>
  </si>
  <si>
    <t>0763</t>
  </si>
  <si>
    <t>1020</t>
  </si>
  <si>
    <t>1030</t>
  </si>
  <si>
    <t>1090</t>
  </si>
  <si>
    <t>1070</t>
  </si>
  <si>
    <t>0821</t>
  </si>
  <si>
    <t>0824</t>
  </si>
  <si>
    <t>0828</t>
  </si>
  <si>
    <t>0829</t>
  </si>
  <si>
    <t>0823</t>
  </si>
  <si>
    <t>0610</t>
  </si>
  <si>
    <t>0620</t>
  </si>
  <si>
    <t>0456</t>
  </si>
  <si>
    <t>0443</t>
  </si>
  <si>
    <t>0455</t>
  </si>
  <si>
    <t>0460</t>
  </si>
  <si>
    <t>0320</t>
  </si>
  <si>
    <t>0621</t>
  </si>
  <si>
    <t>0180</t>
  </si>
  <si>
    <t>Міська цільова програма "Про вирішення невідкладних проблемних питань комунального підприємства Міжнародний аеропорт Запоріжжя", затверджена рішенням від    2015 №</t>
  </si>
  <si>
    <t>Міська цільова програма з відзначення в м.Запоріжжі державних пам"ятних дат та історичних подій у 2015 році, затверджена рішенням міської ради від 15.01.2015 № 14</t>
  </si>
  <si>
    <r>
      <rPr>
        <sz val="12"/>
        <rFont val="Times New Roman"/>
        <family val="1"/>
      </rPr>
      <t xml:space="preserve">Міська цільова програма з відзначення в м.Запоріжжі державних пам"ятних дат та історичних подій у 2014 році, затверджена рішенням міської ради від 23.04.2014 № 17 </t>
    </r>
    <r>
      <rPr>
        <sz val="12"/>
        <color indexed="61"/>
        <rFont val="Times New Roman"/>
        <family val="1"/>
      </rPr>
      <t>- погашення кредиторської заборгованості за минулий рік</t>
    </r>
  </si>
  <si>
    <t>150110</t>
  </si>
  <si>
    <t>150112</t>
  </si>
  <si>
    <t>Проведення невідкладних відновлювальних робіт, будівництво та реконструкція загальноосвітініх навчальних закладів</t>
  </si>
  <si>
    <t>Проведення невідкладних відновлювальних робіт, будівництво та реконструкція позашкільних навчальних закладів</t>
  </si>
  <si>
    <t xml:space="preserve">Міська цільова програма створення філій Центру надання адміністративних послуг у м. Запоріжжі, затверджена рішенням міської ради від 25.03.2015 № </t>
  </si>
  <si>
    <t xml:space="preserve">Програма проведення в м.Запоріжжі Покровського ярмарку, затверджена рішенням міської ради від 25.03.2015 № </t>
  </si>
  <si>
    <t>Міська цільова програма "Забезпечення рівних умов проїзду на автобусних маршрутах загального користування", затверджена рішенням міської ради від 25.03.2015 №</t>
  </si>
  <si>
    <t>Міська програма "Безпечне місто" на 2015 рік, затверджена рішенням міської ради від 25.03.2015 №</t>
  </si>
  <si>
    <t>25.03.2015 №31</t>
  </si>
  <si>
    <t xml:space="preserve">Програма "Фінансова підтримка комунального спортивно-видовищного підприємства "Юність", затверджена рішенням міської ради від          № </t>
  </si>
  <si>
    <t xml:space="preserve">Програма "Фізична культура та спорт", затверджена рішенням міської ради від                  № </t>
  </si>
  <si>
    <t xml:space="preserve">Міська програма "Оцінка вартості пам'яток історії та монументального мистецтва в місті Запоріжжя на 2014 рік"  затверджена рішенням міської ради від            № </t>
  </si>
  <si>
    <t>Міська програма "Загальноміські святкові заходи та акції на 2014 рік" затверджена рішенням міської ради від     №</t>
  </si>
  <si>
    <t xml:space="preserve">Програма створення та ведення містобудівного кадастру міста Запоріжжя, затверджена рішенням міської ради від                 №  </t>
  </si>
  <si>
    <t xml:space="preserve">Програма раціонального використання території та комплексного містобудівного розвитку міста , затверджена рішенням міської ради від     №   </t>
  </si>
  <si>
    <t xml:space="preserve">Міська програма "Розвиток культури і мистецтв у місті Запоріжжя на 2013-2015 роки", затверджена рішенням міської ради від         № </t>
  </si>
  <si>
    <t>Програма використання коштів депутатського фонду, затверджена рішенням міської ради від 30.01.2013 № 8 (зі змінами) - погашення заборгованості за минулий рік</t>
  </si>
  <si>
    <t xml:space="preserve">Міська програма "Поліпшення кінообслуговування населення міста Запоріжжя на 2013-2015 роки" затверджена рішенням міської ради від          №  </t>
  </si>
  <si>
    <t>"Програма надання медичної допомоги хворим на цукровий діабет" на період  2013-2015 років затверджена рішенням міської ради від 30.01.2013 № 21</t>
  </si>
  <si>
    <t xml:space="preserve">Міська цільова програма роботи і розвитку газети Запорізької міської ради "Запорозька Січ"(зі змінами), затверджена рішенням міської ради від     № </t>
  </si>
  <si>
    <t xml:space="preserve">Програма забезпечення проведення аукціонів з продажу права оренди та у власність земельних ділянок на території м.Запоріжжя, затверджена рішенням міської ради від     № </t>
  </si>
  <si>
    <t xml:space="preserve">обсяг власних надходжень,що включені до складу видатків </t>
  </si>
  <si>
    <t>-</t>
  </si>
  <si>
    <t>Цільова комплексна програма забезпечення молоді міста Запоріжжя житлом, затверджена рішенням міської ради від 31.01.2014 № 27</t>
  </si>
  <si>
    <t>"Програма надання медичної допомоги окремим верствам населення" на період  2013-2015 років, затверджена рішенням міської ради від 31.01.2014 № 26</t>
  </si>
  <si>
    <t>"Програма надання медичної допомоги хворим на цукровий діабет" на період  2013-2015 років, затверджена рішенням міської ради від 31.01.2014 № 26</t>
  </si>
  <si>
    <t xml:space="preserve">Програма "Інвентаризація та державна реєстрація об'єктів права комунальної власності територіальної громади м. Запоріжжя на 2014 рік", затверджена рішенням міської ради від 31.01.2014 №15 </t>
  </si>
  <si>
    <t xml:space="preserve">Міська цільова програма запобігання і ліквідації надзвичайних ситуацій техногенного та природного характеру, організація рятування на водах на 2014-2016 роки, затверджена рішенням міської ради від 31.01.2014  №10 </t>
  </si>
  <si>
    <t xml:space="preserve">Програма підтримки діяльності органів самоорганізації населення міста Запоріжжя, затверджена рішенням міської ради від 31.01.2014  №30 </t>
  </si>
  <si>
    <t>Програма зайнятості населення міста Запоріжжя на період до 2017 року, затверджена рішенням міської ради від 29.05.2013 №13 (зі змінами)</t>
  </si>
  <si>
    <t xml:space="preserve">Програма підтримки діяльності органів самоорганізації населення міста Запоріжжя, затверджена рішенням міської ради від 31.01.2014 №30 </t>
  </si>
  <si>
    <t>Компенсаційні виплати на пільговий проїзд електротранспортом окремим категоріям громадян</t>
  </si>
  <si>
    <t>Фінансова підтримка об'єктів житлово-комунального господарства</t>
  </si>
  <si>
    <t>Програма "Організація та проведення заходів щодо відзначення загальнодержавних, міських та районних свят на 2014-2016 роки", затверджена рішенням міської ради від 31.01.2014 №28</t>
  </si>
  <si>
    <t>Міська цільова програма "Забезпечення належної, стабільної роботи і розвитку комунального підприємства "Муніципальна телевізійна мережа" (Телеканал "МТМ")", затверджена рішенням міської ради від 25.02.2013 №32 (зі змінами)</t>
  </si>
  <si>
    <t>Міська цільова програма "Забезпечення належної та безперебійної роботи Запорізького комунального підприємства міського електротранспорту "Запоріжелектротранс", затверджена рішенням міської ради від 25.02.2013 №30 (зі змінами)</t>
  </si>
  <si>
    <t>Фінансова підтримка громадських організацій інвалідів та ветеранів</t>
  </si>
  <si>
    <t>Інші культурно-освітні заклади та заходи</t>
  </si>
  <si>
    <t>Лікарні</t>
  </si>
  <si>
    <t>Поліклініки і амбулаторії</t>
  </si>
  <si>
    <t>Загальні та спеціалізовані стоматологічні поліклініки</t>
  </si>
  <si>
    <t>Централізовані бухгалтерії</t>
  </si>
  <si>
    <t>091209</t>
  </si>
  <si>
    <t>250908</t>
  </si>
  <si>
    <t>Надання пільгового довгострокового кредиту громадянам на будівництво (реконструкцію) та придбання житла</t>
  </si>
  <si>
    <t>070401</t>
  </si>
  <si>
    <t>Позашкільні заклади освіти, заходи із позашкільної роботи з дітьми</t>
  </si>
  <si>
    <t>Соціальні програми і заходи державних органів у справах  молоді</t>
  </si>
  <si>
    <t>240601</t>
  </si>
  <si>
    <t>Кінематографія</t>
  </si>
  <si>
    <t>120100</t>
  </si>
  <si>
    <t>Телебачення та радіомовлення</t>
  </si>
  <si>
    <t>170102</t>
  </si>
  <si>
    <t>Код типової відомчої класифікації видатків</t>
  </si>
  <si>
    <t>Код тимчасової класифікації видатків та кредитування</t>
  </si>
  <si>
    <t>Назва головного розпорядника коштів, найменування коду тимчасової класифікації видатків та кредитування місцевих бюджетів</t>
  </si>
  <si>
    <t>Департамент фінансової та бюджетної політики Запорізької міської ради</t>
  </si>
  <si>
    <t>Виконавчий комітет міської ради</t>
  </si>
  <si>
    <t>150118</t>
  </si>
  <si>
    <t>Районна адміністрація Запорізької міської ради по Ленінському району</t>
  </si>
  <si>
    <t>160101</t>
  </si>
  <si>
    <t>Землеустрій</t>
  </si>
  <si>
    <t>Районна адміністрація Запорізької міської ради по Хортицькому району</t>
  </si>
  <si>
    <t>Районна адміністрація Запорізької міської ради по Орджонікідзевському району</t>
  </si>
  <si>
    <t>Районна адміністрація Запорізької міської ради по Жовтневому району</t>
  </si>
  <si>
    <t>Районна адміністрація Запорізької міської ради по Шевченківському району</t>
  </si>
  <si>
    <t>Районна адміністрація Запорізької міської ради по Заводському району</t>
  </si>
  <si>
    <t>Районна адміністрація Запорізької міської ради по Комунарському району</t>
  </si>
  <si>
    <t>Департамент освіти і науки, молоді та спорту Запорізької міської ради</t>
  </si>
  <si>
    <t>Управління з питань охорони здоров'я Запорізької міської ради</t>
  </si>
  <si>
    <t>Управління соціального захисту населення Запорізької міської ради</t>
  </si>
  <si>
    <t>Управління з питань попередження надзвичайних ситуацій та цивільного захисту населення Запорізької міської ради</t>
  </si>
  <si>
    <t>Департамент комунальної власності та приватизації Запорізької міської ради</t>
  </si>
  <si>
    <t>Управління культури і мистецтв Запорізької міської ради</t>
  </si>
  <si>
    <t>Департамент архітектури та містобудування Запорізької міської ради</t>
  </si>
  <si>
    <t>Управління з питань екологічної безпеки Запорізької міської ради</t>
  </si>
  <si>
    <t>Управління з питань транспортного забезпечення та зв'язку Запорізької міської ради</t>
  </si>
  <si>
    <t>Департамент економічного розвитку Запорізької міської ради</t>
  </si>
  <si>
    <t>Управління з питань земельних відносин Запорізької міської ради</t>
  </si>
  <si>
    <t>Загальний фонд</t>
  </si>
  <si>
    <t>Найменування програми</t>
  </si>
  <si>
    <t>Сума</t>
  </si>
  <si>
    <t>Спеціальний фонд</t>
  </si>
  <si>
    <t xml:space="preserve">Разом </t>
  </si>
  <si>
    <t>(грн.)</t>
  </si>
  <si>
    <t>Всього</t>
  </si>
  <si>
    <t>070101</t>
  </si>
  <si>
    <t>070201</t>
  </si>
  <si>
    <t>070202</t>
  </si>
  <si>
    <t>091108</t>
  </si>
  <si>
    <t>240900</t>
  </si>
  <si>
    <t>080101</t>
  </si>
  <si>
    <t>080300</t>
  </si>
  <si>
    <t>080500</t>
  </si>
  <si>
    <t>081004</t>
  </si>
  <si>
    <t>081009</t>
  </si>
  <si>
    <t>250404</t>
  </si>
  <si>
    <t>120201</t>
  </si>
  <si>
    <t>091101</t>
  </si>
  <si>
    <t>091102</t>
  </si>
  <si>
    <t>091103</t>
  </si>
  <si>
    <t>170603</t>
  </si>
  <si>
    <t>Інші заходи у сфері електротранспорту</t>
  </si>
  <si>
    <t>150101</t>
  </si>
  <si>
    <t>Капітальні вкладення</t>
  </si>
  <si>
    <t>090412</t>
  </si>
  <si>
    <t>170203</t>
  </si>
  <si>
    <t>210105</t>
  </si>
  <si>
    <t>Видатки на запобігання та ліквідацію надзвичайних ситуацій та наслідків стихійного лиха</t>
  </si>
  <si>
    <t>210110</t>
  </si>
  <si>
    <t xml:space="preserve">Заходи з організації рятування на водах </t>
  </si>
  <si>
    <t>Інші видатки</t>
  </si>
  <si>
    <t>Інші видатки на соціальний захист населення</t>
  </si>
  <si>
    <t>100203</t>
  </si>
  <si>
    <t>Благоустрій міст, сіл, селищ</t>
  </si>
  <si>
    <t>170703</t>
  </si>
  <si>
    <t>Видатки на проведення робіт, пов'язаних із будівництвом, реконструкцією, ремонтом і утриманням автомобільних доріг</t>
  </si>
  <si>
    <t>180409</t>
  </si>
  <si>
    <t>150121</t>
  </si>
  <si>
    <t>Заходи з упередження аварій та запобігання техногенних катастроф у житлово-комунальному господарстві та на інших аварійних об'єктах комунальної власності</t>
  </si>
  <si>
    <t>250344</t>
  </si>
  <si>
    <t>180404</t>
  </si>
  <si>
    <t>Заходи з оздоровлення та відпочинку дітей, крім заходів на оздоровлення дітей,що здійснюються за рахунок коштів на оздоровлення громадян, які постраждали внаслідок Чорнобильської катастрофи</t>
  </si>
  <si>
    <t>Періодичні видання (газети і журнали)</t>
  </si>
  <si>
    <t>Цільові фонди, утворені органами місцевого самоврядування</t>
  </si>
  <si>
    <t>Охорона та раціональне використання природних ресурсів</t>
  </si>
  <si>
    <t>Дошкільні заклади освіти</t>
  </si>
  <si>
    <t>Загальноосвітні школи (в т.ч.школа-дитячий садок, інтернат при школі), спеціалізовані школи, ліцеї, гімназії, колегіуми)</t>
  </si>
  <si>
    <t>Вечірні (змінні) школи</t>
  </si>
  <si>
    <t>130107</t>
  </si>
  <si>
    <t>080203</t>
  </si>
  <si>
    <t>081002</t>
  </si>
  <si>
    <t>Інші заходи по охороні здоров'я</t>
  </si>
  <si>
    <t>100102</t>
  </si>
  <si>
    <t>Капітальний ремонт житлового фонду місцевих органів влади</t>
  </si>
  <si>
    <t>Благоустрій сіл, селищ, міст</t>
  </si>
  <si>
    <t>170602</t>
  </si>
  <si>
    <t>Програма по похованню померлих безрідних та невідомих громадян міста на 2012-2014 роки</t>
  </si>
  <si>
    <t>Інші заклади освіти</t>
  </si>
  <si>
    <t>Програма підтримки призову на військову строкову службу та забезпечення територіальної оборони міста на 2014 рік, затверджена рішенням міської ради від 10.09.2014 № 53</t>
  </si>
  <si>
    <t>200200</t>
  </si>
  <si>
    <t>Охорона і раціональне використання земель</t>
  </si>
  <si>
    <t>Програма раціонального використання території та комплексного містобудівного розвитку міста , затверджена рішенням міської ради від 31.01.2014 № 22  (зі змінами)</t>
  </si>
  <si>
    <t>Програма "Інвентаризація та державна реєстрація об'єктів права комунальної власності територіальної громади м. Запоріжжя на 2014 рік", затверджена рішенням міської ради від 31.01.2014 №15 (зі змінами)</t>
  </si>
  <si>
    <t xml:space="preserve">Програма розвитку "Центрального парку культури та відпочинку "Дубовий гай" на 2014-2015 роки, затверджена рішенням міської ради від 05.11.2014 № 14 </t>
  </si>
  <si>
    <t>Програма реконструкції ринку Соцміста КП "Запоріжринок" по вул.Рекордній, 2  у м.Запоріжжя на 2014-2016 роки, затверджена рішенням міської ради від 31.01.2014 №16</t>
  </si>
  <si>
    <t>Програма "Інвентаризація та державна реєстрація об'єктів права комунальної власності територіальної громади м. Запоріжжя на 2014 рік", затверджена рішенням міської ради від   .  .2015 №</t>
  </si>
  <si>
    <t>(тис.грн.)/грн.</t>
  </si>
  <si>
    <t>Код програмної класифікації видатків та кредитування місцевого бюджету</t>
  </si>
  <si>
    <t>Код тимчасової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</si>
  <si>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</si>
  <si>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згідно з типовою відомчою/типовою програмною/тимчасовою класифікацією видатків та кредитування місцевого бюджету</t>
  </si>
  <si>
    <t>Найменування місцевої (регіональної) програми</t>
  </si>
  <si>
    <t>Разом загальний та спеціальний фонди</t>
  </si>
  <si>
    <t>до рішення  міської ради</t>
  </si>
  <si>
    <t xml:space="preserve">Додаток 7                           </t>
  </si>
  <si>
    <t>Перелік місцевих (регіональних) програм, які фінансуватимуться за рахунок коштів бюджету міста у 2015 році</t>
  </si>
  <si>
    <t>Програма економічного і соціального розвитку м.Запоріжжя на 2014 рік, затверджена рішенням міської ради від          №</t>
  </si>
  <si>
    <t>Міська цільова програма впровадження та забезпечення працездатності систем об'єктивного відеоспостереження у м.Запоріжжі, затверджена рішенням міської ради від                 .2015 №   (зі змінами)</t>
  </si>
  <si>
    <t>070806</t>
  </si>
  <si>
    <t>погашення кредиторської заборгованості за минулий рік</t>
  </si>
  <si>
    <t xml:space="preserve">Програма використання коштів депутатського фонду, затверджена рішенням міської ради від 31.01.2014 № 48 (зі змінами) </t>
  </si>
  <si>
    <t>виконання заходів поточного року</t>
  </si>
  <si>
    <t>Програма використання коштів депутатського фонду, затверджена рішенням міської ради від 31.01.2014 № 48 (зі змінами) - погашення кредиторської заборгованості за минулий рік</t>
  </si>
  <si>
    <t xml:space="preserve">Програма використання коштів депутатського фонду, затверджена рішенням міської ради від 31.01.2014 № 48 (зі змінами) - погашення кредиторської заборгованості за минулий рік </t>
  </si>
  <si>
    <t>Програма використання коштів депутатського фонду, затверджена рішенням міської ради від 31.01.2014 № 48 (зі змінами)  - погашення кредиторської заборгованості за минулий рік</t>
  </si>
  <si>
    <r>
      <t>Програма "Організація та проведення заходів щодо відзначення загальнодержавних, міських та районних свят на 2014-2016 роки", затверджена рішенням міської ради від 31.01.2014 №28 -</t>
    </r>
    <r>
      <rPr>
        <sz val="12"/>
        <color indexed="53"/>
        <rFont val="Times New Roman"/>
        <family val="1"/>
      </rPr>
      <t xml:space="preserve"> погашення кредиторської заборгованості за минулий рік</t>
    </r>
  </si>
  <si>
    <t>Міська цільова програма надання автотранспортних та господарських послуг структурним підрозділам та виконавчому комітету міської ради, затверджена рішенням міської ради від 30.01.2013 № 11 (зі змінами)</t>
  </si>
  <si>
    <r>
      <t>Програма підтримки призову на військову строкову службу та забезпечення територіальної оборони міста на 2014 рік, затверджена рішенням міської ради від 10.09.2014 № 53 -</t>
    </r>
    <r>
      <rPr>
        <sz val="12"/>
        <color indexed="53"/>
        <rFont val="Times New Roman"/>
        <family val="1"/>
      </rPr>
      <t xml:space="preserve"> погашення кредиторської заборгованості за минулий рік</t>
    </r>
  </si>
  <si>
    <t xml:space="preserve">Програма підтримки муніципального кредитного рейтингу, затверджена рішенням міської ради від 31.01.2014  № 6 </t>
  </si>
  <si>
    <r>
      <t xml:space="preserve">Програма "Про виконання вишукувальних робіт в районі б.Маркусова м.Запоріжжя на 2014 рік", затверджена рішенням міської ради від 05.11.2014 № 13 </t>
    </r>
    <r>
      <rPr>
        <sz val="12"/>
        <color indexed="60"/>
        <rFont val="Times New Roman"/>
        <family val="1"/>
      </rPr>
      <t xml:space="preserve">- погашення кредиторської заборгованості за минулий рік </t>
    </r>
  </si>
  <si>
    <t>Центри здоров'я і заходи у сфері санітарної освіти</t>
  </si>
  <si>
    <r>
      <t xml:space="preserve">"Програма розвитку охорони здоров'я міста Запоріжжя" на період 2013-2015 роки, затверджена рішенням міської ради від 31.01.2014 № 26 (зі змінами) </t>
    </r>
    <r>
      <rPr>
        <sz val="12"/>
        <color indexed="60"/>
        <rFont val="Times New Roman"/>
        <family val="1"/>
      </rPr>
      <t>- погашення кредиторської заборгованості за минулий рік</t>
    </r>
  </si>
  <si>
    <t>Програма "Інвентаризація та державна реєстрація об'єктів права комунальної власності територіальної громади м. Запоріжжя на 2015 рік", затверджена рішенням міської ради від    №  (зі змінами)</t>
  </si>
  <si>
    <r>
      <t>"Програма розвитку охорони здоров'я міста Запоріжжя" на період 2013-2015 роки, затверджена рішенням міської ради від 31.01.2014 № 26 (зі змінами) -</t>
    </r>
    <r>
      <rPr>
        <sz val="12"/>
        <color indexed="60"/>
        <rFont val="Times New Roman"/>
        <family val="1"/>
      </rPr>
      <t xml:space="preserve"> погашення кредиторської заборгованості за минулий рік</t>
    </r>
  </si>
  <si>
    <t>Міська програма "Оцінка вартості пам'яток історії та монументального мистецтва в місті Запоріжжя на 2014 рік"  затверджена рішенням міської ради від 31.01.2014 № 25</t>
  </si>
  <si>
    <t xml:space="preserve">Програма "Перевезення небіжчиків" на 2015-2019 роки, затверджена рішенням міської ради від 10.12.2014 №13 </t>
  </si>
  <si>
    <t>Інші природоохоронні заходи</t>
  </si>
  <si>
    <t>Міська цільова програма забезпечення участі Запорізької міської ради  в Асоціації міст України, затверджена рішенням міської ради від 25.02.2013  № 14 (зі змінами)</t>
  </si>
  <si>
    <t>Міська цільова програма впровадження та забезпечення працездатності систем об'єктивного відеоспостереження у м.Запоріжжі, затверджена рішенням міської ради від 31.01.2014  № 12 (зі змінами)</t>
  </si>
  <si>
    <t>Програма будівництва та реконструкції об'єктів міста Запоріжжя на 2012 рік</t>
  </si>
  <si>
    <t>Програма придбання житла для багатодітної родини на 2012 рік</t>
  </si>
  <si>
    <t>Програма посилення контролю за станом громадського порядку  на 2012 рік</t>
  </si>
  <si>
    <t>Надання медичної допомоги населенню в міських лікарнях на період  2012-2014 роки</t>
  </si>
  <si>
    <t>Надання первинної медико-санітарної допомоги населенню в самостійних поліклініках міста на період 2012-2014 роки</t>
  </si>
  <si>
    <t>Програма компенсації пільгових перевезень окремих категорій громадян автомобільним транспортом до садово-огородніх ділянок на 2012-2014 роки</t>
  </si>
  <si>
    <t>03</t>
  </si>
  <si>
    <t>90</t>
  </si>
  <si>
    <t>91</t>
  </si>
  <si>
    <t>92</t>
  </si>
  <si>
    <t>93</t>
  </si>
  <si>
    <t>94</t>
  </si>
  <si>
    <t>95</t>
  </si>
  <si>
    <t>96</t>
  </si>
  <si>
    <t>10</t>
  </si>
  <si>
    <t>14</t>
  </si>
  <si>
    <t>15</t>
  </si>
  <si>
    <t>67</t>
  </si>
  <si>
    <t>40</t>
  </si>
  <si>
    <t>45</t>
  </si>
  <si>
    <t>32</t>
  </si>
  <si>
    <t>24</t>
  </si>
  <si>
    <t>65</t>
  </si>
  <si>
    <t>48</t>
  </si>
  <si>
    <t>60</t>
  </si>
  <si>
    <t>75</t>
  </si>
  <si>
    <t>73</t>
  </si>
  <si>
    <t>56</t>
  </si>
  <si>
    <t>130110</t>
  </si>
  <si>
    <t>Фінансова підтримка спортивних споруд</t>
  </si>
  <si>
    <t>130102</t>
  </si>
  <si>
    <t>Проведення навчально-тренувальних зборів і змагань</t>
  </si>
  <si>
    <t>110102</t>
  </si>
  <si>
    <t>Театри</t>
  </si>
  <si>
    <t>110201</t>
  </si>
  <si>
    <t>Бібліотеки</t>
  </si>
  <si>
    <t>091204</t>
  </si>
  <si>
    <t>Територіальні центри соціального обслуговування (надання соціальних послуг)</t>
  </si>
  <si>
    <t>010116</t>
  </si>
  <si>
    <t>Органи місцевого самоврядування</t>
  </si>
  <si>
    <t>110205</t>
  </si>
  <si>
    <t>Школи естетичного виховання дітей</t>
  </si>
  <si>
    <t>110204</t>
  </si>
  <si>
    <t>Палаци і будинки культури, клуби та інші заклади клубного типу</t>
  </si>
  <si>
    <t>Здійснення ефективної реалізації районною адміністрацією Запорізької міської ради по Ленінському району виконання власних та делегованих повноважень у 2012-2014 роках</t>
  </si>
  <si>
    <t>Здійснення ефективної реалізації районною адміністрацією Запорізької міської ради по Шевченківському району виконання власних та делегованих повноважень у 2012-2014 роках</t>
  </si>
  <si>
    <t>Управління розвитку підприємництва та дозвільних послуг Запорізької міської ради</t>
  </si>
  <si>
    <t>Керівництво і управління в галузі охорони здоров"я міста Запоріжжя на період 2012-2014 роки</t>
  </si>
  <si>
    <t>Ефективне управління у галузі техногенно-екологічної безпеки, цивільного захисту та надзвичайних ситуацій у 2012-2014 роках</t>
  </si>
  <si>
    <t>20</t>
  </si>
  <si>
    <t>Здійснення повноважень органів місцевого самоврядування у справах дітей на 2012-2014 роки</t>
  </si>
  <si>
    <t>Здійснення повноважень органів місцевого самоврядування в частині постійного самоврядного контролю у сфері благоустрою міста Запоріжжя на 2012-2014 роки</t>
  </si>
  <si>
    <t>Керівництво і управління в галузі культури та мистецтв м.Запоріжжя на 2012-2014 роки</t>
  </si>
  <si>
    <t>Служба (управління) у справах дітей Запорізької міської ради</t>
  </si>
  <si>
    <t>Керівництво і управління в галузі охорони навколишнього середовища на 2012-2014 роки</t>
  </si>
  <si>
    <t>33</t>
  </si>
  <si>
    <t>Управління реєстрації та єдиного реєстру Запорізької міської ради</t>
  </si>
  <si>
    <t>Забезпечення ефективного управління пасажирським транспортом загального користування та створення сприятливих умов для фкнкціонування транспортної інфраструктури у місті Запоріжжі на 2012-2014 роки</t>
  </si>
  <si>
    <t>Забезпечення керівництва та управління в галузі бюджету та фінансів на 2012-2014 роки</t>
  </si>
  <si>
    <t>Інспекція з благоустрою Запорізької міської ради</t>
  </si>
  <si>
    <t>23</t>
  </si>
  <si>
    <t>Управління з питань правового забезпечення роботи галузей міського господарства Запорізької міської ради</t>
  </si>
  <si>
    <t>Керівництво і управління у сфері правового забезпечення роботи галузей міського господарства Запорізької міської ради на період 2012-2014 роки</t>
  </si>
  <si>
    <t>Програма "Здійснення ефективного управління в галузі освіти і науки, молоді та спорту на 2012-2014 роки"</t>
  </si>
  <si>
    <t>Утримання та навчально-тренувальна робота дитячо-юнацьких спортивних шкіл</t>
  </si>
  <si>
    <t>Видатки на проведення виборів народних депутатів Автономної Республіки Крим, місцевих рад, сільських, селищних, міських голів</t>
  </si>
  <si>
    <t>76</t>
  </si>
  <si>
    <t>Обслуговування  боргу</t>
  </si>
  <si>
    <t>Субвенція з місцевого бюджету до державного бюджету на виконання програм соціально-економічного  та культурного розвитку регіонів</t>
  </si>
  <si>
    <t>Програма підтримки громадських ініціатив в м.Запоріжжі на 2012 рік</t>
  </si>
  <si>
    <t xml:space="preserve">                                     Додаток 8</t>
  </si>
  <si>
    <t xml:space="preserve">                                     до рішення міської ради</t>
  </si>
  <si>
    <t xml:space="preserve">Програма будівництва  об'єкту благоустрою (мобільної туалетної кабіни) в парку Металургів м.Запоріжжя на 2012 рік  </t>
  </si>
  <si>
    <t>Секретар міської ради</t>
  </si>
  <si>
    <t>Р.О.Таран</t>
  </si>
  <si>
    <t>Програма благоустрою міста та фінансування комунальних підприємств на поповнення обігових коштів, статутних капіталів і придбання обладнання та матеріалів на 2012-2014 роки</t>
  </si>
  <si>
    <t>Програма забезпечення громадської безпеки і профілактики злочинності у м.Запоріжжі, розвитку матеріально-технічної бази підрозділу ВВ МВС України військової частини 3033 на 2012 рік</t>
  </si>
  <si>
    <t>Житлове будівництво та придбання житла для окремих категорій населення</t>
  </si>
  <si>
    <r>
      <t xml:space="preserve">Програма розвитку земельних відносин у місті Запоріжжя на 2014 рік, затверджена рішенням </t>
    </r>
    <r>
      <rPr>
        <sz val="11"/>
        <rFont val="Times New Roman"/>
        <family val="1"/>
      </rPr>
      <t>міської ради від 26.03.2014 № 7</t>
    </r>
  </si>
  <si>
    <t>Програма  використання коштів цільового фонду міської ради на 2014 рік, затверджена рішенням міської ради від 31.01.2014 №7 (зі змінами)</t>
  </si>
  <si>
    <t>180410</t>
  </si>
  <si>
    <t>Інші заходи, пов'язані з економічною діяльністю</t>
  </si>
  <si>
    <t>170103</t>
  </si>
  <si>
    <t>Інші заходи у сфері автомобільного транспорту</t>
  </si>
  <si>
    <t>Програма створення та ведення містобудівного кадастру міста Запоріжжя, затверджена рішенням міської ради від 31.01.2014 №20 (зі змінами)</t>
  </si>
  <si>
    <t>Програма "Фінансування заходів із придбання житла для окремих категорій населення у 2012 році"</t>
  </si>
  <si>
    <t>інші видатки</t>
  </si>
  <si>
    <t>150107</t>
  </si>
  <si>
    <t>Житлове будівництво і придбання житла  військовослужбовцям та особам рядового і начальницького складу, звільненим у запас або відставку за станом здоров'я, віком, вислугою років та у зв'язку  із скороченням штатів, які перебувають на квартирному обліку за місцем проживання, членам сімей з числа цих осіб, які загинули під час виконання ними службових обов'язків, а також учасникам бойових дій в Афганістані та воєнних конфліктів</t>
  </si>
  <si>
    <t>Фінансування енергозберігаючих заходів</t>
  </si>
  <si>
    <t>171000</t>
  </si>
  <si>
    <t>Діяльність і послуги, не віднесені до інших категорій</t>
  </si>
  <si>
    <t>100101</t>
  </si>
  <si>
    <t>Житлово-експлуатаційне господарство</t>
  </si>
  <si>
    <t>Підтримка малого і середнього підприємництва</t>
  </si>
  <si>
    <t xml:space="preserve">Видатки на запобігання та ліквідацію надзвичайних ситуацій та наслідків стихійного лиха </t>
  </si>
  <si>
    <t>Компенсацйні виплати на пільговий проїзд електротранспортом окремим категоріям громадян</t>
  </si>
  <si>
    <t>Цільові фонди, утворені Верховною Радою Автономної Республіки Крим, органами місцевого самоврядування і місцевими органами виконавчої влади</t>
  </si>
  <si>
    <t>Управління комунального господарства та дорожнього будівництва Запорізької міської ради</t>
  </si>
  <si>
    <t>41</t>
  </si>
  <si>
    <t>Внески органів влади Автономної Республіки Крим та органів місцевого самоврядування у статутні капітали суб'єктів підприємницької діяльності</t>
  </si>
  <si>
    <t>Департамент житлово-комунального господарства Запорізької міської ради</t>
  </si>
  <si>
    <t xml:space="preserve">Програма розвитку та утримання житлово-комунального господарства м.Запоріжжя на 2013-2015 роки </t>
  </si>
  <si>
    <t>Програма "Освіта"</t>
  </si>
  <si>
    <t>Міська комплексна програма соціального захисту населення міста Запоріжжя</t>
  </si>
  <si>
    <t>Перинатальні центри, пологові будинки</t>
  </si>
  <si>
    <t>Забезпечення централізованих заходів з лікування хворих на цукровий та нецукровий діабет</t>
  </si>
  <si>
    <t>Програма розвитку та утримання житлово-комунального господарства м.Запоріжжя на 2013-2015 роки ( в тому числі погашення заборгованості минулого року)</t>
  </si>
  <si>
    <t xml:space="preserve">Компенсаційні виплати на пільговий проїзд автомобільним транспортом окремим категоріям громадян </t>
  </si>
  <si>
    <t>Компенсаційні виплати на пільговий проїзд окремих категорій громадян на водному транспорті</t>
  </si>
  <si>
    <t>Утримання центрів соціальних служб для сім'ї, дітей та молоді</t>
  </si>
  <si>
    <t>Програми і заходи центрів соціальних служб для сім'ї, дітей та молоді</t>
  </si>
  <si>
    <t>Соціальні програми і заходи державних органів у справах молоді</t>
  </si>
  <si>
    <t>130112</t>
  </si>
  <si>
    <t>130106</t>
  </si>
  <si>
    <t>Проведення навчально-тренувальних зборів і змагань з неолімпійських видів спорту</t>
  </si>
  <si>
    <t>Програма підтримки сім'ї та молоді м. Запоріжжя, затверджена рішенням міської ради від 25.02.2013 № 25</t>
  </si>
  <si>
    <t>Програма "Фізична культура та спорт", затверджена рішенням міської ради від 25.02.2013 № 25</t>
  </si>
  <si>
    <t>"Програма надання медичної допомоги окремим верствам населення" на період  2013-2015 роківзатверджена рішенням міської ради від 30.01.2013 № 21</t>
  </si>
  <si>
    <t>"Програма надання медичної допомоги хворим на цукровий діабет" на період  2013-2015 роківзатверджена рішенням міської ради від 30.01.2013 № 21</t>
  </si>
  <si>
    <t xml:space="preserve">Міська комплексна програма соціального захисту населення міста Запоріжжя затверджена рішенням міської ради від 30.01.2013 № 24 </t>
  </si>
  <si>
    <t xml:space="preserve">Міська комплексна програма соціального захисту населення міста Запоріжжязатверджена рішенням міської ради від 30.01.2013 № 24 </t>
  </si>
  <si>
    <t>Міська програма "Розвиток культури і мистецтв у місті Запоріжжя на 2013-2015 роки", затверджена рішенням міської ради від 30.01.2013 № 40</t>
  </si>
  <si>
    <t>Міська програма "Розвиток культури і мистецтв у місті Запоріжжя на 2013-2015 роки" затверджена рішенням міської ради від 30.01.2013 № 40</t>
  </si>
  <si>
    <t>Міська програма "Поліпшення кінообслуговування населення міста Запоріжжя на 2013-2015 роки" затверджена рішенням міської ради від 30.01.2013 № 40</t>
  </si>
  <si>
    <t>Міська програма "Оцінка вартості пам'яток історії та монументального мистецтва в місті Запоріжжя на 2013 рік"  затверджена рішенням міської ради від 30.01.2013 № 40</t>
  </si>
  <si>
    <t>Програма проведення в м.Запоріжжі Покровського ярмарку, затверджена рішенням міської ради від 24.12.2012 № 35</t>
  </si>
  <si>
    <t>Програма економічного і соціального розвитку м.Запоріжжя на 2013 рік, затверджена рішенням міської ради від 24.12.2012 № 8</t>
  </si>
  <si>
    <t>Міська цільова програма "Забезпечення належної та безперебійної роботи Запорізького комунального підприємства міського електротранспорту "Запоріжелектротранс", затверджена рішенням міської ради від 25.02.2013 № 30</t>
  </si>
  <si>
    <t>Програма підтримки діяльності органів самоорганізації населення міста Запоріжжя, затверджена рішенням міської ради від 30.01.2013 № 26</t>
  </si>
  <si>
    <t>Міська цільова програма забезпечення погашення заборгованості при реалізації Програми придбання житла для воїнів-інтернаціоналістів у 2012 році, затверджена рішенням міської ради від 30.01.2013 № 13</t>
  </si>
  <si>
    <t>Програма "Фінансова підтримка комунального спортивно-видовищного підприємства "Юність", затверджена рішенням міської ради від 30.01.2013 № 25</t>
  </si>
  <si>
    <t>Міська цільова Програма "Фінансова допомога комунальному підприємству "Управління капітального будівництва" у 2013 році", затверджена рішенням міської ради від 30.01.2013 № 6</t>
  </si>
  <si>
    <t>Міська цільова Програма "Фінансування заходів з дератизації відкритих стацій та дезінсекції анофелогенних водоймищ м.Запоріжжя на 2013 рік", затверджена рішенням міської ради від 30.01.2013 № 41</t>
  </si>
  <si>
    <t>Програма "Здійснення заходів щодо проведення незалежної оцінки об'єктів м.Запоріжжя на 2012 рік" (погашення заборгованості минулого року), затверджена рішенням міської ради від 23.02.2013 № 52</t>
  </si>
  <si>
    <t>Програма сприяння діяльності ветеранів спорту у здійсненні фізкультурно-спортивних заходів на 2013 рік, затверджена рішенням міської ради від 25.02.2013 № 51</t>
  </si>
  <si>
    <t>100106</t>
  </si>
  <si>
    <t>Капітальний ремонт житлового фонду об'єднань співвласників багатоквартирних будинків</t>
  </si>
  <si>
    <t>Програма сприяння органів місцевого самоврядування призову громадян у 2013 році, затверджена рішенням міської ради від 23.02.2012 № 19 (зі змінами)</t>
  </si>
  <si>
    <t>Програма "Позашкільна освіта", затверджена рішенням міської ради від 25.02.2013 № 25 (зі змінами)</t>
  </si>
  <si>
    <t>Програма використання коштів депутатського фонду, затверджена рішенням міської ради від 30.01.2013 № 8 (зі змінами)</t>
  </si>
  <si>
    <t>Програма розвитку туризму у місті Запоріжжя на 2014 - 2016 роки, затверджена рішенням міської ради від 23.04.2014 № 20</t>
  </si>
  <si>
    <t>Міська цільова програма "Організація перевезень мешканців міста Запоріжжя, які мають пільги на проїзд в пасажирському автомобільному транспорті, до садово-городніх ділянок у сезон 2014 року", затверджена рішенням міської ради від 23.04.2014 № 26</t>
  </si>
  <si>
    <t>Міська програма надання цільової фінансової підтримки громадянам на первинний внесок для отримання іпотечних житлових кредитів на будівництво чи придбання доступного житла на території м.Запоріжжя на 2014 - 2016 роки, затверджена рішенням міської ради від 23.04.2014  № 11</t>
  </si>
  <si>
    <t>Утримання центрів соціальних служб для сім"ї, дітей та молоді</t>
  </si>
  <si>
    <t>Програма економічного і соціального розвитку м.Запоріжжя на 2013 рік, затверджена рішенням міської ради від 24.12.2012 № 8 (зі змінами)</t>
  </si>
  <si>
    <t>Міська цільова програма впровадження та забезпечення працездатності систем об'єктивного відеоспостередження у м.Запоріжжі, затверджена рішенням міської ради від 24.12.2012 №15 (зі змінами)</t>
  </si>
  <si>
    <t>Програма реконструкція об'єктів соціальної сфери міста Запоріжжя на 2012-2014 роки, затверджена рішенням міської ради від 24.12.2012 № 43 (зі змінами)</t>
  </si>
  <si>
    <t>Програма розвитку та утримання житлово-комунального господарства м.Запоріжжя на 2013-2015 роки, затверджена рішенням міської ради від 30.01.2013 № 17 (зі змінами)</t>
  </si>
  <si>
    <t>Міська цільова програма запобігання та ліквідації надзвичайних ситуацій техногенного та природного характеру, організація рятування на водах на 2013-2015 роки, затверджена рішенням міської ради від 30.01.2013 № 16 (зі змінами)</t>
  </si>
  <si>
    <t>Міська цільова Програма "Будівництво, реконструкція та ліквідація аварійного стану об'єктів міста Запоріжжя на 2013-2015 роки", затверджена рішенням міської ради від 30.01.2013 № 6 (зі змінами)</t>
  </si>
  <si>
    <t>Програма "Організація та проведення заходів щодо відзначення загальнодержавних, міських та районних свят на 2013 рік", затверджена рішенням міської ради від 27.03.2013   № 8</t>
  </si>
  <si>
    <t>Програма "Освіта", затверджена рішенням міської ради від 25.02.2013 № 25 (зі змінами)</t>
  </si>
  <si>
    <t>Методична робота, інші заходи у сфері народної освіти</t>
  </si>
  <si>
    <t>070802</t>
  </si>
  <si>
    <t>070805</t>
  </si>
  <si>
    <t>Групи централізованого господарського обслуговування</t>
  </si>
  <si>
    <t>Програма "Оздоровлення та відпочинок", затверджена рішенням міської ради від 25.02.2013 № 25 (зі змінами)</t>
  </si>
  <si>
    <t>Програма  використання коштів цільового фонду міської ради на 2013 рік, затверджена рішенням міської ради від 24.12.2012 № 12 (зі змінами)</t>
  </si>
  <si>
    <t>Міська цільова програма "Забезпечення належної та безперебійної роботи комунального підприємства "Міжнародний аеропорт Запоріжжя", затверджена рішенням міської ради від 30.01.2013 № 20 (зі змінами)</t>
  </si>
  <si>
    <t>Програма "Інвентаризація та державна реєстрація об'єктів права комунальної власності територіальної громади м. Запоріжжя на 2013 рік", затверджена рішенням міської ради від 24.04.2013 № 13</t>
  </si>
  <si>
    <t>070804</t>
  </si>
  <si>
    <t>Централізовані бухгалтерії обласних, міських, районних відділів освіти</t>
  </si>
  <si>
    <t>080800</t>
  </si>
  <si>
    <t>Центри первинної медичної (медико-санітарної) допомоги</t>
  </si>
  <si>
    <t>100209</t>
  </si>
  <si>
    <r>
      <t>Заходи, пов</t>
    </r>
    <r>
      <rPr>
        <sz val="12"/>
        <rFont val="Arial"/>
        <family val="2"/>
      </rPr>
      <t>'</t>
    </r>
    <r>
      <rPr>
        <sz val="12"/>
        <rFont val="Times New Roman"/>
        <family val="1"/>
      </rPr>
      <t>язані з поліпшенням питної води</t>
    </r>
  </si>
  <si>
    <t>Інші субвенції</t>
  </si>
  <si>
    <t xml:space="preserve">Програма "Про забезпечення екологічної безпеки міста на 2013-2015 роки", затверджена рішенням міської ради від 24.12.2012 № 23 (зі змінами) </t>
  </si>
  <si>
    <t>Програма забезпечення проведення аукціонів з продажу права оренди та у власність земельних ділянок на території м.Запоріжжя на 2013-2015 роки, затверджена рішенням міської ради від 24.12.2012 № 84</t>
  </si>
  <si>
    <t>"Програма розвитку охорони здоров'я міста Запоріжжя" на період 2013-2015 роки, затверджена рішенням міської ради від 30.01.2013 № 21 (зі змінами)</t>
  </si>
  <si>
    <t>Програма "Розвитку ендопротезування великих суглобів в місті Запоріжжі на 2013-2017 роки"затверджена рішенням міської ради від 24.12.2012 № 54</t>
  </si>
  <si>
    <t>26</t>
  </si>
  <si>
    <t>Відділ охорони культурної спадщини Запорізької міської ради</t>
  </si>
  <si>
    <t>Міська цільова програма "Забезпечення належної, стабільної роботи і розвитку комунального підприємства "Муніципальна телевізійна мережа" (Телеканал "МТМ")", затверджена рішенням міської ради від 25.02.2013 № 32 (зі змінами)</t>
  </si>
  <si>
    <t>Програма "Інвентаризація та державна реєстрація об'єктів права комунальної власності територіальної громади м. Запоріжжя на 2013 рік", затверджена рішенням міської ради від 24.04.2013 №13</t>
  </si>
  <si>
    <t>Міська цільова програма забезпечення участі Запорізької міської ради  в Асоціації міст України, Всеукраїнській громадській організації "Асоціація фінансистів України" та Асоціації "Международная Ассамблея столиц и крупных городов", затверджена рішенням міської ради від 25.02.2013 №14</t>
  </si>
  <si>
    <t>Міська програма "Загальноміські святкові заходи та акції на 2013 рік" затверджена рішенням міської ради від 30.01.2013 №40</t>
  </si>
  <si>
    <t>Програма економічного і соціального розвитку м.Запоріжжя на 2013 рік, затверджена рішенням міської ради від 24.12.2012 №8 (зі змінами)</t>
  </si>
  <si>
    <t>Програма розвитку земельних відносин у місті Запоріжжя на 2013 рік, затверджена рішенням міської ради від 25.02.2013 №26</t>
  </si>
  <si>
    <t>250913</t>
  </si>
  <si>
    <t>Витрати, пов'язані з наданням та обслуговуванням пільгових довгострокових кредитів, наданих громадянам на будівництво (реконструкцію) та придбання житла</t>
  </si>
  <si>
    <t>Міська цільова програма "Про підвищення безпеки дорожнього руху на автомобільних шляхах міста Запоріжжя", затверджена рішенням міської ради від 20.08.2013 №16</t>
  </si>
  <si>
    <t>Програма зайнятості населення міста Запоріжжя на період до 2017 року, затверджена рішенням міської ради від 29.05.2013 № 13</t>
  </si>
  <si>
    <t>Міська цільова програма "Про підвищення безпеки дорожнього руху на автомобільних шляхах міста Запоріжжя", затверджена рішенням міської ради від 20.08.2013 №16 (зі змінами)</t>
  </si>
  <si>
    <t xml:space="preserve">                                     ___________ № _________</t>
  </si>
  <si>
    <t>Програма "Фінансова підтримка КНВП "Екоцентр" на погашення податкового боргу на 2013 рік", затверджена рішенням міської ради від 27.03.2013 № 34</t>
  </si>
  <si>
    <t>Програма створення та ведення містобудівного кадастру міста Запоріжжя на 2013-2015 роки, затверджена рішенням міської ради від 25.02.2013 № 28 (зі змінами)</t>
  </si>
  <si>
    <t>Програма раціонального використання території та комплексного містобудівного розвитку міста на 2013-2015 роки, затверджена рішенням міської ради від 25.02.2013 № 27 (зі змінами)</t>
  </si>
  <si>
    <t>Програма обслуговування боргу бюджету міста та підтримки муніципального кредитного рейтингу, затверджена рішенням міської ради від 25.02.2013 № 11 (зі змінами)</t>
  </si>
  <si>
    <t>Програма розвитку та утримання житлово-комунального господарства м.Запоріжжя на 2014-2016 роки, затверджена рішенням міської ради від 31.01.2014 № 9 (зі змінами)</t>
  </si>
  <si>
    <t>Програма розвитку та утримання житлово-комунального господарства м.Запоріжжя на 2014-2016 роки, затверджена рішенням міської ради від 31.01.2014 №9 (зі змінами)</t>
  </si>
  <si>
    <t>Міська цільова програма надання фінансової підтримки комунальному підприємству "Центр управління інформаційними техннологіями на 2013 рік", затверджена рішенням міської ради від 29.11.2013 № 45</t>
  </si>
  <si>
    <t>Програма економічного і соціального розвитку м.Запоріжжя на 2014 рік (в тому числі погашення заборгованості минулого року)</t>
  </si>
  <si>
    <t>Міська цільова програма впровадження та забезпечення працездатності систем об'єктивного відеоспостередження у м.Запоріжжі (в тому числі погашення заборгованості минулого року)</t>
  </si>
  <si>
    <t>Програма використання коштів депутатського фонду ( в тому числі погашення заборгованості минулого року)</t>
  </si>
  <si>
    <t>Міська цільова програма роботи й розвитку газети Запорізької міської ради "Запорозька Січ" (в тому числі погашення заборгованості минулого року)</t>
  </si>
  <si>
    <t>Програма  використання коштів цільового фонду міської ради на 2014 рік (в тому числі погашення кредиторської заборгованості минулого року)</t>
  </si>
  <si>
    <t>Міська цільова програма надання автотранспортних та господарських послуг структурним підрозділам та виконавчому комітету міської ради ( в тому числі погашення кредиторської заборгованості)</t>
  </si>
  <si>
    <t>Програма "Освіта" (в тому числі погашення кредиторської заборгованості)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</si>
</sst>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0.0"/>
    <numFmt numFmtId="191" formatCode="0.00000000"/>
    <numFmt numFmtId="192" formatCode="0.0000000"/>
    <numFmt numFmtId="193" formatCode="0.000000"/>
    <numFmt numFmtId="194" formatCode="0.00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</numFmts>
  <fonts count="5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8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Times New Roman"/>
      <family val="1"/>
    </font>
    <font>
      <sz val="16"/>
      <name val="Arial Cyr"/>
      <family val="0"/>
    </font>
    <font>
      <sz val="10"/>
      <name val="Arial Cyr"/>
      <family val="0"/>
    </font>
    <font>
      <sz val="20"/>
      <name val="Times New Roman"/>
      <family val="1"/>
    </font>
    <font>
      <sz val="22"/>
      <name val="Times New Roman"/>
      <family val="1"/>
    </font>
    <font>
      <sz val="12"/>
      <color indexed="61"/>
      <name val="Times New Roman"/>
      <family val="1"/>
    </font>
    <font>
      <u val="single"/>
      <sz val="12"/>
      <name val="Times New Roman"/>
      <family val="1"/>
    </font>
    <font>
      <sz val="12"/>
      <color indexed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b/>
      <sz val="14"/>
      <name val="Times New Roman"/>
      <family val="1"/>
    </font>
    <font>
      <sz val="12"/>
      <color indexed="10"/>
      <name val="Times New Roman"/>
      <family val="1"/>
    </font>
    <font>
      <b/>
      <sz val="22"/>
      <name val="Times New Roman"/>
      <family val="1"/>
    </font>
    <font>
      <sz val="24"/>
      <name val="Times New Roman"/>
      <family val="1"/>
    </font>
    <font>
      <sz val="12"/>
      <color indexed="56"/>
      <name val="Times New Roman"/>
      <family val="1"/>
    </font>
    <font>
      <sz val="12"/>
      <color indexed="14"/>
      <name val="Times New Roman"/>
      <family val="1"/>
    </font>
    <font>
      <sz val="12"/>
      <color indexed="18"/>
      <name val="Times New Roman"/>
      <family val="1"/>
    </font>
    <font>
      <sz val="12"/>
      <color indexed="62"/>
      <name val="Times New Roman"/>
      <family val="1"/>
    </font>
    <font>
      <sz val="8"/>
      <name val="Arial"/>
      <family val="2"/>
    </font>
    <font>
      <sz val="12"/>
      <color indexed="30"/>
      <name val="Times New Roman"/>
      <family val="1"/>
    </font>
    <font>
      <b/>
      <sz val="11"/>
      <name val="Times New Roman"/>
      <family val="1"/>
    </font>
    <font>
      <b/>
      <sz val="12"/>
      <color indexed="56"/>
      <name val="Times New Roman"/>
      <family val="1"/>
    </font>
    <font>
      <sz val="14"/>
      <color indexed="30"/>
      <name val="Times New Roman"/>
      <family val="1"/>
    </font>
    <font>
      <sz val="14"/>
      <color indexed="10"/>
      <name val="Times New Roman"/>
      <family val="1"/>
    </font>
    <font>
      <b/>
      <sz val="12"/>
      <color indexed="17"/>
      <name val="Times New Roman"/>
      <family val="1"/>
    </font>
    <font>
      <b/>
      <sz val="14"/>
      <color indexed="30"/>
      <name val="Times New Roman"/>
      <family val="1"/>
    </font>
    <font>
      <b/>
      <sz val="14"/>
      <color indexed="10"/>
      <name val="Times New Roman"/>
      <family val="1"/>
    </font>
    <font>
      <sz val="12"/>
      <color indexed="60"/>
      <name val="Times New Roman"/>
      <family val="1"/>
    </font>
    <font>
      <sz val="12"/>
      <color indexed="53"/>
      <name val="Times New Roman"/>
      <family val="1"/>
    </font>
    <font>
      <sz val="18"/>
      <name val="Arial Cyr"/>
      <family val="0"/>
    </font>
    <font>
      <b/>
      <sz val="18"/>
      <name val="Arial Cyr"/>
      <family val="0"/>
    </font>
    <font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30"/>
      <name val="Times New Roman"/>
      <family val="1"/>
    </font>
    <font>
      <b/>
      <u val="single"/>
      <sz val="2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8" borderId="0" applyNumberFormat="0" applyBorder="0" applyAlignment="0" applyProtection="0"/>
    <xf numFmtId="0" fontId="39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9" borderId="0" applyNumberFormat="0" applyBorder="0" applyAlignment="0" applyProtection="0"/>
    <xf numFmtId="0" fontId="41" fillId="7" borderId="1" applyNumberFormat="0" applyAlignment="0" applyProtection="0"/>
    <xf numFmtId="0" fontId="42" fillId="20" borderId="2" applyNumberFormat="0" applyAlignment="0" applyProtection="0"/>
    <xf numFmtId="0" fontId="43" fillId="20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1" borderId="7" applyNumberFormat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51" fillId="3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5" fillId="4" borderId="0" applyNumberFormat="0" applyBorder="0" applyAlignment="0" applyProtection="0"/>
  </cellStyleXfs>
  <cellXfs count="286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right" vertical="center"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1" fontId="1" fillId="0" borderId="0" xfId="0" applyNumberFormat="1" applyFont="1" applyAlignment="1">
      <alignment wrapText="1"/>
    </xf>
    <xf numFmtId="0" fontId="7" fillId="0" borderId="0" xfId="0" applyFont="1" applyAlignment="1">
      <alignment/>
    </xf>
    <xf numFmtId="1" fontId="1" fillId="0" borderId="10" xfId="0" applyNumberFormat="1" applyFont="1" applyFill="1" applyBorder="1" applyAlignment="1">
      <alignment vertic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" fillId="0" borderId="10" xfId="0" applyFont="1" applyFill="1" applyBorder="1" applyAlignment="1">
      <alignment horizontal="right" vertical="center"/>
    </xf>
    <xf numFmtId="0" fontId="1" fillId="0" borderId="10" xfId="0" applyFont="1" applyFill="1" applyBorder="1" applyAlignment="1">
      <alignment vertical="center"/>
    </xf>
    <xf numFmtId="1" fontId="1" fillId="0" borderId="10" xfId="0" applyNumberFormat="1" applyFont="1" applyFill="1" applyBorder="1" applyAlignment="1">
      <alignment horizontal="right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right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right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1" fontId="2" fillId="0" borderId="1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wrapText="1"/>
    </xf>
    <xf numFmtId="1" fontId="2" fillId="0" borderId="10" xfId="0" applyNumberFormat="1" applyFont="1" applyFill="1" applyBorder="1" applyAlignment="1">
      <alignment vertical="center"/>
    </xf>
    <xf numFmtId="188" fontId="1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1" fillId="0" borderId="10" xfId="0" applyFont="1" applyFill="1" applyBorder="1" applyAlignment="1">
      <alignment horizontal="center" vertical="center" wrapText="1"/>
    </xf>
    <xf numFmtId="1" fontId="11" fillId="0" borderId="10" xfId="0" applyNumberFormat="1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1" fontId="11" fillId="0" borderId="10" xfId="0" applyNumberFormat="1" applyFont="1" applyFill="1" applyBorder="1" applyAlignment="1">
      <alignment horizontal="right" vertical="center" wrapText="1"/>
    </xf>
    <xf numFmtId="0" fontId="11" fillId="0" borderId="10" xfId="0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wrapText="1"/>
    </xf>
    <xf numFmtId="1" fontId="12" fillId="0" borderId="10" xfId="0" applyNumberFormat="1" applyFont="1" applyBorder="1" applyAlignment="1">
      <alignment wrapText="1"/>
    </xf>
    <xf numFmtId="0" fontId="12" fillId="0" borderId="10" xfId="0" applyFont="1" applyBorder="1" applyAlignment="1">
      <alignment wrapText="1"/>
    </xf>
    <xf numFmtId="0" fontId="13" fillId="0" borderId="0" xfId="0" applyFont="1" applyAlignment="1">
      <alignment wrapText="1"/>
    </xf>
    <xf numFmtId="1" fontId="13" fillId="0" borderId="0" xfId="0" applyNumberFormat="1" applyFont="1" applyAlignment="1">
      <alignment wrapText="1"/>
    </xf>
    <xf numFmtId="1" fontId="1" fillId="0" borderId="0" xfId="0" applyNumberFormat="1" applyFont="1" applyFill="1" applyAlignment="1">
      <alignment vertical="center" wrapText="1"/>
    </xf>
    <xf numFmtId="1" fontId="1" fillId="0" borderId="0" xfId="0" applyNumberFormat="1" applyFont="1" applyAlignment="1">
      <alignment horizontal="center" vertical="center" wrapText="1"/>
    </xf>
    <xf numFmtId="1" fontId="1" fillId="0" borderId="0" xfId="0" applyNumberFormat="1" applyFont="1" applyFill="1" applyAlignment="1">
      <alignment horizontal="center" vertical="center" wrapText="1"/>
    </xf>
    <xf numFmtId="1" fontId="2" fillId="0" borderId="0" xfId="0" applyNumberFormat="1" applyFont="1" applyFill="1" applyAlignment="1">
      <alignment horizontal="center" vertical="center" wrapText="1"/>
    </xf>
    <xf numFmtId="0" fontId="14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1" fillId="24" borderId="0" xfId="0" applyFont="1" applyFill="1" applyAlignment="1">
      <alignment horizontal="center" vertical="center" wrapText="1"/>
    </xf>
    <xf numFmtId="1" fontId="1" fillId="24" borderId="0" xfId="0" applyNumberFormat="1" applyFont="1" applyFill="1" applyAlignment="1">
      <alignment horizontal="center" vertical="center" wrapText="1"/>
    </xf>
    <xf numFmtId="0" fontId="1" fillId="25" borderId="0" xfId="0" applyFont="1" applyFill="1" applyAlignment="1">
      <alignment horizontal="center" vertical="center" wrapText="1"/>
    </xf>
    <xf numFmtId="0" fontId="20" fillId="0" borderId="0" xfId="0" applyFont="1" applyAlignment="1">
      <alignment/>
    </xf>
    <xf numFmtId="0" fontId="18" fillId="0" borderId="10" xfId="0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vertical="center" wrapText="1"/>
    </xf>
    <xf numFmtId="0" fontId="10" fillId="0" borderId="0" xfId="0" applyFont="1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1" fontId="22" fillId="0" borderId="10" xfId="0" applyNumberFormat="1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1" fontId="24" fillId="0" borderId="10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wrapText="1"/>
    </xf>
    <xf numFmtId="0" fontId="6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20" fillId="0" borderId="0" xfId="0" applyFont="1" applyFill="1" applyAlignment="1">
      <alignment wrapText="1"/>
    </xf>
    <xf numFmtId="188" fontId="20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right" wrapText="1"/>
    </xf>
    <xf numFmtId="1" fontId="17" fillId="0" borderId="0" xfId="0" applyNumberFormat="1" applyFont="1" applyFill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1" fontId="18" fillId="24" borderId="0" xfId="0" applyNumberFormat="1" applyFont="1" applyFill="1" applyAlignment="1">
      <alignment horizontal="center" vertical="center" wrapText="1"/>
    </xf>
    <xf numFmtId="1" fontId="15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1" fillId="25" borderId="0" xfId="0" applyFont="1" applyFill="1" applyAlignment="1">
      <alignment wrapText="1"/>
    </xf>
    <xf numFmtId="0" fontId="1" fillId="25" borderId="0" xfId="0" applyFont="1" applyFill="1" applyBorder="1" applyAlignment="1">
      <alignment horizontal="center" vertical="center" wrapText="1"/>
    </xf>
    <xf numFmtId="0" fontId="3" fillId="25" borderId="0" xfId="0" applyFont="1" applyFill="1" applyAlignment="1">
      <alignment wrapText="1"/>
    </xf>
    <xf numFmtId="0" fontId="1" fillId="25" borderId="0" xfId="0" applyFont="1" applyFill="1" applyAlignment="1">
      <alignment horizontal="right" wrapText="1"/>
    </xf>
    <xf numFmtId="0" fontId="6" fillId="25" borderId="10" xfId="0" applyFont="1" applyFill="1" applyBorder="1" applyAlignment="1">
      <alignment horizontal="center" vertical="center" wrapText="1"/>
    </xf>
    <xf numFmtId="0" fontId="1" fillId="25" borderId="10" xfId="0" applyFont="1" applyFill="1" applyBorder="1" applyAlignment="1">
      <alignment horizontal="center" vertical="center" wrapText="1"/>
    </xf>
    <xf numFmtId="1" fontId="1" fillId="25" borderId="0" xfId="0" applyNumberFormat="1" applyFont="1" applyFill="1" applyAlignment="1">
      <alignment horizontal="center" vertical="center" wrapText="1"/>
    </xf>
    <xf numFmtId="0" fontId="21" fillId="25" borderId="0" xfId="0" applyFont="1" applyFill="1" applyAlignment="1">
      <alignment horizontal="center" vertical="center" wrapText="1"/>
    </xf>
    <xf numFmtId="1" fontId="2" fillId="25" borderId="0" xfId="0" applyNumberFormat="1" applyFont="1" applyFill="1" applyAlignment="1">
      <alignment horizontal="center" vertical="center" wrapText="1"/>
    </xf>
    <xf numFmtId="0" fontId="2" fillId="25" borderId="0" xfId="0" applyFont="1" applyFill="1" applyAlignment="1">
      <alignment horizontal="center" vertical="center" wrapText="1"/>
    </xf>
    <xf numFmtId="0" fontId="1" fillId="25" borderId="0" xfId="0" applyFont="1" applyFill="1" applyAlignment="1">
      <alignment vertical="center" wrapText="1"/>
    </xf>
    <xf numFmtId="1" fontId="1" fillId="25" borderId="0" xfId="0" applyNumberFormat="1" applyFont="1" applyFill="1" applyAlignment="1">
      <alignment vertical="center" wrapText="1"/>
    </xf>
    <xf numFmtId="0" fontId="1" fillId="25" borderId="0" xfId="0" applyFont="1" applyFill="1" applyAlignment="1">
      <alignment horizontal="center" wrapText="1"/>
    </xf>
    <xf numFmtId="1" fontId="1" fillId="25" borderId="0" xfId="0" applyNumberFormat="1" applyFont="1" applyFill="1" applyAlignment="1">
      <alignment horizontal="center" wrapText="1"/>
    </xf>
    <xf numFmtId="1" fontId="18" fillId="25" borderId="0" xfId="0" applyNumberFormat="1" applyFont="1" applyFill="1" applyAlignment="1">
      <alignment wrapText="1"/>
    </xf>
    <xf numFmtId="0" fontId="29" fillId="25" borderId="0" xfId="0" applyFont="1" applyFill="1" applyAlignment="1">
      <alignment wrapText="1"/>
    </xf>
    <xf numFmtId="0" fontId="30" fillId="25" borderId="0" xfId="0" applyFont="1" applyFill="1" applyAlignment="1">
      <alignment wrapText="1"/>
    </xf>
    <xf numFmtId="0" fontId="1" fillId="25" borderId="0" xfId="0" applyFont="1" applyFill="1" applyBorder="1" applyAlignment="1">
      <alignment wrapText="1"/>
    </xf>
    <xf numFmtId="0" fontId="3" fillId="25" borderId="0" xfId="0" applyFont="1" applyFill="1" applyBorder="1" applyAlignment="1">
      <alignment wrapText="1"/>
    </xf>
    <xf numFmtId="1" fontId="1" fillId="25" borderId="0" xfId="0" applyNumberFormat="1" applyFont="1" applyFill="1" applyBorder="1" applyAlignment="1">
      <alignment horizontal="center" vertical="center" wrapText="1"/>
    </xf>
    <xf numFmtId="0" fontId="21" fillId="25" borderId="0" xfId="0" applyFont="1" applyFill="1" applyBorder="1" applyAlignment="1">
      <alignment horizontal="center" vertical="center" wrapText="1"/>
    </xf>
    <xf numFmtId="0" fontId="2" fillId="25" borderId="0" xfId="0" applyFont="1" applyFill="1" applyBorder="1" applyAlignment="1">
      <alignment horizontal="center" vertical="center" wrapText="1"/>
    </xf>
    <xf numFmtId="0" fontId="1" fillId="25" borderId="0" xfId="0" applyFont="1" applyFill="1" applyBorder="1" applyAlignment="1">
      <alignment vertical="center" wrapText="1"/>
    </xf>
    <xf numFmtId="0" fontId="29" fillId="25" borderId="0" xfId="0" applyFont="1" applyFill="1" applyBorder="1" applyAlignment="1">
      <alignment wrapText="1"/>
    </xf>
    <xf numFmtId="0" fontId="30" fillId="25" borderId="0" xfId="0" applyFont="1" applyFill="1" applyBorder="1" applyAlignment="1">
      <alignment wrapText="1"/>
    </xf>
    <xf numFmtId="0" fontId="2" fillId="25" borderId="0" xfId="0" applyFont="1" applyFill="1" applyAlignment="1">
      <alignment wrapText="1"/>
    </xf>
    <xf numFmtId="0" fontId="27" fillId="25" borderId="0" xfId="0" applyFont="1" applyFill="1" applyAlignment="1">
      <alignment wrapText="1"/>
    </xf>
    <xf numFmtId="0" fontId="28" fillId="25" borderId="0" xfId="0" applyFont="1" applyFill="1" applyAlignment="1">
      <alignment horizontal="center" vertical="center" wrapText="1"/>
    </xf>
    <xf numFmtId="1" fontId="2" fillId="25" borderId="0" xfId="0" applyNumberFormat="1" applyFont="1" applyFill="1" applyAlignment="1">
      <alignment wrapText="1"/>
    </xf>
    <xf numFmtId="0" fontId="31" fillId="25" borderId="0" xfId="0" applyFont="1" applyFill="1" applyAlignment="1">
      <alignment wrapText="1"/>
    </xf>
    <xf numFmtId="0" fontId="32" fillId="25" borderId="0" xfId="0" applyFont="1" applyFill="1" applyAlignment="1">
      <alignment wrapText="1"/>
    </xf>
    <xf numFmtId="0" fontId="33" fillId="25" borderId="0" xfId="0" applyFont="1" applyFill="1" applyAlignment="1">
      <alignment wrapText="1"/>
    </xf>
    <xf numFmtId="1" fontId="2" fillId="25" borderId="0" xfId="0" applyNumberFormat="1" applyFont="1" applyFill="1" applyAlignment="1">
      <alignment vertical="center" wrapText="1"/>
    </xf>
    <xf numFmtId="0" fontId="31" fillId="25" borderId="0" xfId="0" applyFont="1" applyFill="1" applyBorder="1" applyAlignment="1">
      <alignment wrapText="1"/>
    </xf>
    <xf numFmtId="0" fontId="1" fillId="25" borderId="11" xfId="0" applyFont="1" applyFill="1" applyBorder="1" applyAlignment="1">
      <alignment horizontal="center" vertical="center" wrapText="1"/>
    </xf>
    <xf numFmtId="0" fontId="17" fillId="25" borderId="0" xfId="0" applyFont="1" applyFill="1" applyAlignment="1">
      <alignment wrapText="1"/>
    </xf>
    <xf numFmtId="0" fontId="17" fillId="25" borderId="0" xfId="0" applyFont="1" applyFill="1" applyBorder="1" applyAlignment="1">
      <alignment wrapText="1"/>
    </xf>
    <xf numFmtId="0" fontId="1" fillId="25" borderId="12" xfId="0" applyFont="1" applyFill="1" applyBorder="1" applyAlignment="1">
      <alignment vertical="center" wrapText="1"/>
    </xf>
    <xf numFmtId="0" fontId="9" fillId="0" borderId="13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left"/>
    </xf>
    <xf numFmtId="1" fontId="1" fillId="25" borderId="10" xfId="0" applyNumberFormat="1" applyFont="1" applyFill="1" applyBorder="1" applyAlignment="1">
      <alignment vertical="center" wrapText="1"/>
    </xf>
    <xf numFmtId="0" fontId="11" fillId="25" borderId="12" xfId="0" applyFont="1" applyFill="1" applyBorder="1" applyAlignment="1">
      <alignment horizontal="center" vertical="center" wrapText="1"/>
    </xf>
    <xf numFmtId="1" fontId="2" fillId="25" borderId="0" xfId="0" applyNumberFormat="1" applyFont="1" applyFill="1" applyAlignment="1">
      <alignment horizontal="left" wrapText="1"/>
    </xf>
    <xf numFmtId="0" fontId="36" fillId="25" borderId="0" xfId="0" applyFont="1" applyFill="1" applyAlignment="1">
      <alignment/>
    </xf>
    <xf numFmtId="1" fontId="37" fillId="25" borderId="0" xfId="0" applyNumberFormat="1" applyFont="1" applyFill="1" applyAlignment="1">
      <alignment/>
    </xf>
    <xf numFmtId="0" fontId="37" fillId="25" borderId="0" xfId="0" applyFont="1" applyFill="1" applyAlignment="1">
      <alignment/>
    </xf>
    <xf numFmtId="0" fontId="36" fillId="25" borderId="0" xfId="0" applyFont="1" applyFill="1" applyBorder="1" applyAlignment="1">
      <alignment/>
    </xf>
    <xf numFmtId="0" fontId="38" fillId="25" borderId="0" xfId="0" applyFont="1" applyFill="1" applyAlignment="1">
      <alignment/>
    </xf>
    <xf numFmtId="188" fontId="9" fillId="25" borderId="0" xfId="0" applyNumberFormat="1" applyFont="1" applyFill="1" applyBorder="1" applyAlignment="1">
      <alignment/>
    </xf>
    <xf numFmtId="0" fontId="9" fillId="25" borderId="0" xfId="0" applyFont="1" applyFill="1" applyAlignment="1">
      <alignment/>
    </xf>
    <xf numFmtId="0" fontId="17" fillId="25" borderId="0" xfId="0" applyFont="1" applyFill="1" applyAlignment="1">
      <alignment wrapText="1"/>
    </xf>
    <xf numFmtId="0" fontId="17" fillId="25" borderId="0" xfId="0" applyFont="1" applyFill="1" applyBorder="1" applyAlignment="1">
      <alignment wrapText="1"/>
    </xf>
    <xf numFmtId="1" fontId="1" fillId="25" borderId="10" xfId="0" applyNumberFormat="1" applyFont="1" applyFill="1" applyBorder="1" applyAlignment="1">
      <alignment horizontal="right" vertical="center"/>
    </xf>
    <xf numFmtId="1" fontId="1" fillId="25" borderId="10" xfId="0" applyNumberFormat="1" applyFont="1" applyFill="1" applyBorder="1" applyAlignment="1">
      <alignment horizontal="right" vertical="center" wrapText="1"/>
    </xf>
    <xf numFmtId="1" fontId="11" fillId="25" borderId="10" xfId="0" applyNumberFormat="1" applyFont="1" applyFill="1" applyBorder="1" applyAlignment="1">
      <alignment vertical="center" wrapText="1"/>
    </xf>
    <xf numFmtId="0" fontId="1" fillId="25" borderId="10" xfId="0" applyFont="1" applyFill="1" applyBorder="1" applyAlignment="1">
      <alignment horizontal="right" vertical="center" wrapText="1"/>
    </xf>
    <xf numFmtId="0" fontId="1" fillId="25" borderId="10" xfId="0" applyFont="1" applyFill="1" applyBorder="1" applyAlignment="1">
      <alignment horizontal="right" vertical="center"/>
    </xf>
    <xf numFmtId="1" fontId="2" fillId="25" borderId="10" xfId="0" applyNumberFormat="1" applyFont="1" applyFill="1" applyBorder="1" applyAlignment="1">
      <alignment horizontal="right" vertical="center" wrapText="1"/>
    </xf>
    <xf numFmtId="1" fontId="11" fillId="25" borderId="10" xfId="0" applyNumberFormat="1" applyFont="1" applyFill="1" applyBorder="1" applyAlignment="1">
      <alignment horizontal="right" vertical="center" wrapText="1"/>
    </xf>
    <xf numFmtId="1" fontId="26" fillId="25" borderId="10" xfId="0" applyNumberFormat="1" applyFont="1" applyFill="1" applyBorder="1" applyAlignment="1">
      <alignment horizontal="right" vertical="center" wrapText="1"/>
    </xf>
    <xf numFmtId="1" fontId="26" fillId="25" borderId="10" xfId="0" applyNumberFormat="1" applyFont="1" applyFill="1" applyBorder="1" applyAlignment="1">
      <alignment horizontal="right" vertical="center" wrapText="1"/>
    </xf>
    <xf numFmtId="1" fontId="26" fillId="25" borderId="10" xfId="0" applyNumberFormat="1" applyFont="1" applyFill="1" applyBorder="1" applyAlignment="1">
      <alignment vertical="center" wrapText="1"/>
    </xf>
    <xf numFmtId="1" fontId="2" fillId="25" borderId="10" xfId="0" applyNumberFormat="1" applyFont="1" applyFill="1" applyBorder="1" applyAlignment="1">
      <alignment vertical="center" wrapText="1"/>
    </xf>
    <xf numFmtId="0" fontId="11" fillId="25" borderId="10" xfId="0" applyFont="1" applyFill="1" applyBorder="1" applyAlignment="1">
      <alignment horizontal="right" vertical="center" wrapText="1"/>
    </xf>
    <xf numFmtId="0" fontId="11" fillId="25" borderId="10" xfId="0" applyFont="1" applyFill="1" applyBorder="1" applyAlignment="1">
      <alignment vertical="center" wrapText="1"/>
    </xf>
    <xf numFmtId="0" fontId="26" fillId="25" borderId="10" xfId="0" applyFont="1" applyFill="1" applyBorder="1" applyAlignment="1">
      <alignment vertical="center" wrapText="1"/>
    </xf>
    <xf numFmtId="0" fontId="1" fillId="25" borderId="10" xfId="0" applyFont="1" applyFill="1" applyBorder="1" applyAlignment="1">
      <alignment vertical="center" wrapText="1"/>
    </xf>
    <xf numFmtId="0" fontId="26" fillId="25" borderId="10" xfId="0" applyFont="1" applyFill="1" applyBorder="1" applyAlignment="1">
      <alignment horizontal="right" vertical="center" wrapText="1"/>
    </xf>
    <xf numFmtId="0" fontId="1" fillId="25" borderId="14" xfId="0" applyFont="1" applyFill="1" applyBorder="1" applyAlignment="1">
      <alignment horizontal="right" vertical="center" wrapText="1"/>
    </xf>
    <xf numFmtId="0" fontId="26" fillId="25" borderId="10" xfId="0" applyFont="1" applyFill="1" applyBorder="1" applyAlignment="1">
      <alignment vertical="center" wrapText="1"/>
    </xf>
    <xf numFmtId="1" fontId="1" fillId="25" borderId="10" xfId="0" applyNumberFormat="1" applyFont="1" applyFill="1" applyBorder="1" applyAlignment="1">
      <alignment horizontal="center" vertical="center" wrapText="1"/>
    </xf>
    <xf numFmtId="1" fontId="1" fillId="25" borderId="10" xfId="0" applyNumberFormat="1" applyFont="1" applyFill="1" applyBorder="1" applyAlignment="1">
      <alignment vertical="center"/>
    </xf>
    <xf numFmtId="1" fontId="26" fillId="25" borderId="10" xfId="0" applyNumberFormat="1" applyFont="1" applyFill="1" applyBorder="1" applyAlignment="1">
      <alignment vertical="center" wrapText="1"/>
    </xf>
    <xf numFmtId="0" fontId="26" fillId="25" borderId="10" xfId="0" applyFont="1" applyFill="1" applyBorder="1" applyAlignment="1">
      <alignment horizontal="right" vertical="center" wrapText="1"/>
    </xf>
    <xf numFmtId="1" fontId="56" fillId="25" borderId="0" xfId="0" applyNumberFormat="1" applyFont="1" applyFill="1" applyAlignment="1">
      <alignment horizontal="center" vertical="center" wrapText="1"/>
    </xf>
    <xf numFmtId="0" fontId="26" fillId="25" borderId="0" xfId="0" applyFont="1" applyFill="1" applyAlignment="1">
      <alignment horizontal="center" vertical="center" wrapText="1"/>
    </xf>
    <xf numFmtId="1" fontId="26" fillId="25" borderId="0" xfId="0" applyNumberFormat="1" applyFont="1" applyFill="1" applyAlignment="1">
      <alignment horizontal="center" vertical="center" wrapText="1"/>
    </xf>
    <xf numFmtId="0" fontId="26" fillId="25" borderId="0" xfId="0" applyFont="1" applyFill="1" applyBorder="1" applyAlignment="1">
      <alignment horizontal="center" vertical="center" wrapText="1"/>
    </xf>
    <xf numFmtId="0" fontId="26" fillId="25" borderId="10" xfId="0" applyFont="1" applyFill="1" applyBorder="1" applyAlignment="1">
      <alignment vertical="center" wrapText="1"/>
    </xf>
    <xf numFmtId="1" fontId="26" fillId="25" borderId="10" xfId="0" applyNumberFormat="1" applyFont="1" applyFill="1" applyBorder="1" applyAlignment="1">
      <alignment horizontal="right" vertical="center" wrapText="1"/>
    </xf>
    <xf numFmtId="1" fontId="1" fillId="25" borderId="14" xfId="0" applyNumberFormat="1" applyFont="1" applyFill="1" applyBorder="1" applyAlignment="1">
      <alignment horizontal="right" vertical="center"/>
    </xf>
    <xf numFmtId="0" fontId="1" fillId="25" borderId="0" xfId="0" applyFont="1" applyFill="1" applyAlignment="1">
      <alignment wrapText="1"/>
    </xf>
    <xf numFmtId="0" fontId="17" fillId="25" borderId="0" xfId="0" applyFont="1" applyFill="1" applyAlignment="1">
      <alignment horizontal="left" wrapText="1"/>
    </xf>
    <xf numFmtId="0" fontId="1" fillId="25" borderId="12" xfId="0" applyFont="1" applyFill="1" applyBorder="1" applyAlignment="1">
      <alignment horizontal="center" vertical="center" wrapText="1"/>
    </xf>
    <xf numFmtId="0" fontId="1" fillId="25" borderId="10" xfId="0" applyFont="1" applyFill="1" applyBorder="1" applyAlignment="1">
      <alignment horizontal="center" vertical="center" wrapText="1"/>
    </xf>
    <xf numFmtId="1" fontId="1" fillId="25" borderId="11" xfId="0" applyNumberFormat="1" applyFont="1" applyFill="1" applyBorder="1" applyAlignment="1">
      <alignment horizontal="center" vertical="center" wrapText="1"/>
    </xf>
    <xf numFmtId="49" fontId="2" fillId="25" borderId="14" xfId="0" applyNumberFormat="1" applyFont="1" applyFill="1" applyBorder="1" applyAlignment="1">
      <alignment horizontal="center" vertical="center" wrapText="1"/>
    </xf>
    <xf numFmtId="0" fontId="2" fillId="25" borderId="14" xfId="0" applyFont="1" applyFill="1" applyBorder="1" applyAlignment="1">
      <alignment horizontal="center" vertical="center" wrapText="1"/>
    </xf>
    <xf numFmtId="49" fontId="1" fillId="25" borderId="15" xfId="0" applyNumberFormat="1" applyFont="1" applyFill="1" applyBorder="1" applyAlignment="1">
      <alignment horizontal="center" vertical="center" wrapText="1"/>
    </xf>
    <xf numFmtId="49" fontId="1" fillId="25" borderId="14" xfId="0" applyNumberFormat="1" applyFont="1" applyFill="1" applyBorder="1" applyAlignment="1">
      <alignment horizontal="center" vertical="center" wrapText="1"/>
    </xf>
    <xf numFmtId="49" fontId="1" fillId="25" borderId="16" xfId="0" applyNumberFormat="1" applyFont="1" applyFill="1" applyBorder="1" applyAlignment="1">
      <alignment horizontal="center" vertical="center" wrapText="1"/>
    </xf>
    <xf numFmtId="49" fontId="1" fillId="25" borderId="17" xfId="0" applyNumberFormat="1" applyFont="1" applyFill="1" applyBorder="1" applyAlignment="1">
      <alignment horizontal="center" vertical="center" wrapText="1"/>
    </xf>
    <xf numFmtId="49" fontId="1" fillId="25" borderId="11" xfId="0" applyNumberFormat="1" applyFont="1" applyFill="1" applyBorder="1" applyAlignment="1">
      <alignment horizontal="center" vertical="center" wrapText="1"/>
    </xf>
    <xf numFmtId="49" fontId="1" fillId="25" borderId="18" xfId="0" applyNumberFormat="1" applyFont="1" applyFill="1" applyBorder="1" applyAlignment="1">
      <alignment horizontal="center" vertical="center" wrapText="1"/>
    </xf>
    <xf numFmtId="0" fontId="11" fillId="25" borderId="10" xfId="0" applyFont="1" applyFill="1" applyBorder="1" applyAlignment="1">
      <alignment horizontal="center" vertical="center" wrapText="1"/>
    </xf>
    <xf numFmtId="0" fontId="1" fillId="25" borderId="15" xfId="0" applyFont="1" applyFill="1" applyBorder="1" applyAlignment="1">
      <alignment horizontal="center" vertical="center" wrapText="1"/>
    </xf>
    <xf numFmtId="0" fontId="1" fillId="25" borderId="14" xfId="0" applyFont="1" applyFill="1" applyBorder="1" applyAlignment="1">
      <alignment horizontal="center" vertical="center" wrapText="1"/>
    </xf>
    <xf numFmtId="49" fontId="1" fillId="25" borderId="0" xfId="0" applyNumberFormat="1" applyFont="1" applyFill="1" applyBorder="1" applyAlignment="1">
      <alignment horizontal="center" vertical="center" wrapText="1"/>
    </xf>
    <xf numFmtId="0" fontId="1" fillId="25" borderId="14" xfId="0" applyFont="1" applyFill="1" applyBorder="1" applyAlignment="1">
      <alignment horizontal="center" vertical="center"/>
    </xf>
    <xf numFmtId="0" fontId="1" fillId="25" borderId="15" xfId="0" applyFont="1" applyFill="1" applyBorder="1" applyAlignment="1">
      <alignment horizontal="center" vertical="center"/>
    </xf>
    <xf numFmtId="0" fontId="1" fillId="25" borderId="11" xfId="0" applyFont="1" applyFill="1" applyBorder="1" applyAlignment="1">
      <alignment horizontal="center" vertical="center"/>
    </xf>
    <xf numFmtId="49" fontId="2" fillId="25" borderId="10" xfId="0" applyNumberFormat="1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horizontal="center" vertical="center" wrapText="1"/>
    </xf>
    <xf numFmtId="0" fontId="26" fillId="25" borderId="10" xfId="0" applyFont="1" applyFill="1" applyBorder="1" applyAlignment="1">
      <alignment horizontal="center" vertical="center" wrapText="1"/>
    </xf>
    <xf numFmtId="1" fontId="26" fillId="25" borderId="10" xfId="0" applyNumberFormat="1" applyFont="1" applyFill="1" applyBorder="1" applyAlignment="1">
      <alignment vertical="center" wrapText="1"/>
    </xf>
    <xf numFmtId="1" fontId="26" fillId="25" borderId="10" xfId="0" applyNumberFormat="1" applyFont="1" applyFill="1" applyBorder="1" applyAlignment="1">
      <alignment vertical="center" wrapText="1"/>
    </xf>
    <xf numFmtId="0" fontId="1" fillId="25" borderId="10" xfId="0" applyFont="1" applyFill="1" applyBorder="1" applyAlignment="1">
      <alignment vertical="center"/>
    </xf>
    <xf numFmtId="49" fontId="1" fillId="25" borderId="10" xfId="0" applyNumberFormat="1" applyFont="1" applyFill="1" applyBorder="1" applyAlignment="1">
      <alignment horizontal="center" vertical="center" wrapText="1"/>
    </xf>
    <xf numFmtId="49" fontId="1" fillId="25" borderId="14" xfId="0" applyNumberFormat="1" applyFont="1" applyFill="1" applyBorder="1" applyAlignment="1">
      <alignment vertical="center" wrapText="1"/>
    </xf>
    <xf numFmtId="0" fontId="1" fillId="25" borderId="11" xfId="0" applyFont="1" applyFill="1" applyBorder="1" applyAlignment="1">
      <alignment horizontal="center" vertical="center" wrapText="1"/>
    </xf>
    <xf numFmtId="49" fontId="1" fillId="25" borderId="10" xfId="0" applyNumberFormat="1" applyFont="1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9" xfId="0" applyFill="1" applyBorder="1" applyAlignment="1">
      <alignment horizontal="center" vertical="center" wrapText="1"/>
    </xf>
    <xf numFmtId="49" fontId="1" fillId="25" borderId="11" xfId="0" applyNumberFormat="1" applyFont="1" applyFill="1" applyBorder="1" applyAlignment="1">
      <alignment vertical="center" wrapText="1"/>
    </xf>
    <xf numFmtId="49" fontId="2" fillId="25" borderId="11" xfId="0" applyNumberFormat="1" applyFont="1" applyFill="1" applyBorder="1" applyAlignment="1">
      <alignment horizontal="center" vertical="center" wrapText="1"/>
    </xf>
    <xf numFmtId="49" fontId="2" fillId="25" borderId="15" xfId="0" applyNumberFormat="1" applyFont="1" applyFill="1" applyBorder="1" applyAlignment="1">
      <alignment horizontal="center" vertical="center" wrapText="1"/>
    </xf>
    <xf numFmtId="0" fontId="2" fillId="25" borderId="11" xfId="0" applyFont="1" applyFill="1" applyBorder="1" applyAlignment="1">
      <alignment horizontal="center" vertical="center" wrapText="1"/>
    </xf>
    <xf numFmtId="0" fontId="26" fillId="25" borderId="10" xfId="0" applyFont="1" applyFill="1" applyBorder="1" applyAlignment="1">
      <alignment horizontal="center" vertical="center" wrapText="1"/>
    </xf>
    <xf numFmtId="49" fontId="1" fillId="25" borderId="19" xfId="0" applyNumberFormat="1" applyFont="1" applyFill="1" applyBorder="1" applyAlignment="1">
      <alignment horizontal="center" vertical="center" wrapText="1"/>
    </xf>
    <xf numFmtId="1" fontId="1" fillId="25" borderId="14" xfId="0" applyNumberFormat="1" applyFont="1" applyFill="1" applyBorder="1" applyAlignment="1">
      <alignment vertical="center" wrapText="1"/>
    </xf>
    <xf numFmtId="1" fontId="1" fillId="25" borderId="11" xfId="0" applyNumberFormat="1" applyFont="1" applyFill="1" applyBorder="1" applyAlignment="1">
      <alignment horizontal="right" vertical="center" wrapText="1"/>
    </xf>
    <xf numFmtId="0" fontId="1" fillId="25" borderId="20" xfId="0" applyFont="1" applyFill="1" applyBorder="1" applyAlignment="1">
      <alignment horizontal="center" vertical="center" wrapText="1"/>
    </xf>
    <xf numFmtId="0" fontId="1" fillId="25" borderId="19" xfId="0" applyFont="1" applyFill="1" applyBorder="1" applyAlignment="1">
      <alignment horizontal="center" vertical="center" wrapText="1"/>
    </xf>
    <xf numFmtId="0" fontId="1" fillId="25" borderId="0" xfId="0" applyFont="1" applyFill="1" applyAlignment="1">
      <alignment horizontal="center" vertical="center" wrapText="1"/>
    </xf>
    <xf numFmtId="49" fontId="1" fillId="25" borderId="21" xfId="0" applyNumberFormat="1" applyFont="1" applyFill="1" applyBorder="1" applyAlignment="1">
      <alignment horizontal="center" vertical="center" wrapText="1"/>
    </xf>
    <xf numFmtId="49" fontId="1" fillId="25" borderId="22" xfId="0" applyNumberFormat="1" applyFont="1" applyFill="1" applyBorder="1" applyAlignment="1">
      <alignment horizontal="center" vertical="center" wrapText="1"/>
    </xf>
    <xf numFmtId="0" fontId="26" fillId="25" borderId="12" xfId="0" applyFont="1" applyFill="1" applyBorder="1" applyAlignment="1">
      <alignment horizontal="center" vertical="center" wrapText="1"/>
    </xf>
    <xf numFmtId="0" fontId="1" fillId="25" borderId="23" xfId="0" applyFont="1" applyFill="1" applyBorder="1" applyAlignment="1">
      <alignment horizontal="center" vertical="center" wrapText="1"/>
    </xf>
    <xf numFmtId="0" fontId="1" fillId="25" borderId="24" xfId="0" applyFont="1" applyFill="1" applyBorder="1" applyAlignment="1">
      <alignment horizontal="center" vertical="center" wrapText="1"/>
    </xf>
    <xf numFmtId="49" fontId="1" fillId="25" borderId="20" xfId="0" applyNumberFormat="1" applyFont="1" applyFill="1" applyBorder="1" applyAlignment="1">
      <alignment horizontal="center" vertical="center" wrapText="1"/>
    </xf>
    <xf numFmtId="1" fontId="1" fillId="17" borderId="10" xfId="0" applyNumberFormat="1" applyFont="1" applyFill="1" applyBorder="1" applyAlignment="1">
      <alignment horizontal="right" vertical="center" wrapText="1"/>
    </xf>
    <xf numFmtId="1" fontId="1" fillId="17" borderId="10" xfId="0" applyNumberFormat="1" applyFont="1" applyFill="1" applyBorder="1" applyAlignment="1">
      <alignment vertical="center" wrapText="1"/>
    </xf>
    <xf numFmtId="0" fontId="0" fillId="25" borderId="11" xfId="0" applyFill="1" applyBorder="1" applyAlignment="1">
      <alignment/>
    </xf>
    <xf numFmtId="0" fontId="0" fillId="25" borderId="15" xfId="0" applyFill="1" applyBorder="1" applyAlignment="1">
      <alignment/>
    </xf>
    <xf numFmtId="0" fontId="0" fillId="25" borderId="11" xfId="0" applyFill="1" applyBorder="1" applyAlignment="1">
      <alignment/>
    </xf>
    <xf numFmtId="0" fontId="1" fillId="25" borderId="20" xfId="0" applyFont="1" applyFill="1" applyBorder="1" applyAlignment="1">
      <alignment horizontal="center" vertical="center" wrapText="1"/>
    </xf>
    <xf numFmtId="49" fontId="1" fillId="25" borderId="14" xfId="0" applyNumberFormat="1" applyFont="1" applyFill="1" applyBorder="1" applyAlignment="1">
      <alignment horizontal="center" vertical="center"/>
    </xf>
    <xf numFmtId="49" fontId="1" fillId="25" borderId="11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0" fontId="1" fillId="25" borderId="0" xfId="0" applyFont="1" applyFill="1" applyBorder="1" applyAlignment="1">
      <alignment horizontal="center" vertical="center" wrapText="1"/>
    </xf>
    <xf numFmtId="0" fontId="1" fillId="25" borderId="0" xfId="0" applyFont="1" applyFill="1" applyAlignment="1">
      <alignment horizontal="center" wrapText="1"/>
    </xf>
    <xf numFmtId="0" fontId="9" fillId="25" borderId="0" xfId="0" applyFont="1" applyFill="1" applyAlignment="1">
      <alignment wrapText="1"/>
    </xf>
    <xf numFmtId="0" fontId="2" fillId="25" borderId="0" xfId="0" applyFont="1" applyFill="1" applyAlignment="1">
      <alignment horizontal="center" vertical="center" wrapText="1"/>
    </xf>
    <xf numFmtId="0" fontId="19" fillId="25" borderId="0" xfId="0" applyFont="1" applyFill="1" applyAlignment="1">
      <alignment horizontal="center" wrapText="1"/>
    </xf>
    <xf numFmtId="0" fontId="1" fillId="25" borderId="17" xfId="0" applyFont="1" applyFill="1" applyBorder="1" applyAlignment="1">
      <alignment horizontal="center" vertical="center"/>
    </xf>
    <xf numFmtId="0" fontId="1" fillId="25" borderId="18" xfId="0" applyFont="1" applyFill="1" applyBorder="1" applyAlignment="1">
      <alignment horizontal="center" vertical="center"/>
    </xf>
    <xf numFmtId="0" fontId="1" fillId="25" borderId="15" xfId="0" applyFont="1" applyFill="1" applyBorder="1" applyAlignment="1">
      <alignment horizontal="center" vertical="center"/>
    </xf>
    <xf numFmtId="0" fontId="1" fillId="25" borderId="11" xfId="0" applyFont="1" applyFill="1" applyBorder="1" applyAlignment="1">
      <alignment horizontal="center" vertical="center"/>
    </xf>
    <xf numFmtId="0" fontId="1" fillId="25" borderId="10" xfId="0" applyFont="1" applyFill="1" applyBorder="1" applyAlignment="1">
      <alignment horizontal="center" vertical="center" wrapText="1"/>
    </xf>
    <xf numFmtId="0" fontId="1" fillId="25" borderId="21" xfId="0" applyFont="1" applyFill="1" applyBorder="1" applyAlignment="1">
      <alignment horizontal="center" vertical="center" wrapText="1"/>
    </xf>
    <xf numFmtId="0" fontId="1" fillId="25" borderId="0" xfId="0" applyFont="1" applyFill="1" applyBorder="1" applyAlignment="1">
      <alignment horizontal="center" vertical="center" wrapText="1"/>
    </xf>
    <xf numFmtId="0" fontId="0" fillId="25" borderId="11" xfId="0" applyFill="1" applyBorder="1" applyAlignment="1">
      <alignment wrapText="1"/>
    </xf>
    <xf numFmtId="0" fontId="1" fillId="25" borderId="14" xfId="0" applyFont="1" applyFill="1" applyBorder="1" applyAlignment="1">
      <alignment horizontal="center" vertical="center"/>
    </xf>
    <xf numFmtId="0" fontId="1" fillId="25" borderId="16" xfId="0" applyFont="1" applyFill="1" applyBorder="1" applyAlignment="1">
      <alignment horizontal="center" vertical="center"/>
    </xf>
    <xf numFmtId="0" fontId="9" fillId="25" borderId="0" xfId="0" applyFont="1" applyFill="1" applyAlignment="1">
      <alignment horizontal="left" wrapText="1"/>
    </xf>
    <xf numFmtId="1" fontId="1" fillId="25" borderId="14" xfId="0" applyNumberFormat="1" applyFont="1" applyFill="1" applyBorder="1" applyAlignment="1">
      <alignment horizontal="right" vertical="center" wrapText="1"/>
    </xf>
    <xf numFmtId="1" fontId="1" fillId="25" borderId="11" xfId="0" applyNumberFormat="1" applyFont="1" applyFill="1" applyBorder="1" applyAlignment="1">
      <alignment horizontal="right" vertical="center" wrapText="1"/>
    </xf>
    <xf numFmtId="1" fontId="1" fillId="25" borderId="14" xfId="0" applyNumberFormat="1" applyFont="1" applyFill="1" applyBorder="1" applyAlignment="1">
      <alignment horizontal="center" vertical="center" wrapText="1"/>
    </xf>
    <xf numFmtId="1" fontId="1" fillId="25" borderId="11" xfId="0" applyNumberFormat="1" applyFont="1" applyFill="1" applyBorder="1" applyAlignment="1">
      <alignment horizontal="center" vertical="center" wrapText="1"/>
    </xf>
    <xf numFmtId="0" fontId="1" fillId="25" borderId="22" xfId="0" applyFont="1" applyFill="1" applyBorder="1" applyAlignment="1">
      <alignment horizontal="center" vertical="center"/>
    </xf>
    <xf numFmtId="0" fontId="1" fillId="25" borderId="10" xfId="0" applyFont="1" applyFill="1" applyBorder="1" applyAlignment="1">
      <alignment horizontal="center" vertical="center"/>
    </xf>
    <xf numFmtId="0" fontId="0" fillId="25" borderId="18" xfId="0" applyFill="1" applyBorder="1" applyAlignment="1">
      <alignment horizontal="center" vertical="center" wrapText="1"/>
    </xf>
    <xf numFmtId="49" fontId="1" fillId="25" borderId="16" xfId="0" applyNumberFormat="1" applyFont="1" applyFill="1" applyBorder="1" applyAlignment="1">
      <alignment horizontal="center" vertical="center"/>
    </xf>
    <xf numFmtId="49" fontId="1" fillId="25" borderId="18" xfId="0" applyNumberFormat="1" applyFont="1" applyFill="1" applyBorder="1" applyAlignment="1">
      <alignment horizontal="center" vertical="center"/>
    </xf>
    <xf numFmtId="49" fontId="1" fillId="25" borderId="14" xfId="0" applyNumberFormat="1" applyFont="1" applyFill="1" applyBorder="1" applyAlignment="1">
      <alignment vertical="center" wrapText="1"/>
    </xf>
    <xf numFmtId="49" fontId="1" fillId="25" borderId="15" xfId="0" applyNumberFormat="1" applyFont="1" applyFill="1" applyBorder="1" applyAlignment="1">
      <alignment vertical="center" wrapText="1"/>
    </xf>
    <xf numFmtId="0" fontId="0" fillId="25" borderId="15" xfId="0" applyFill="1" applyBorder="1" applyAlignment="1">
      <alignment/>
    </xf>
    <xf numFmtId="49" fontId="1" fillId="25" borderId="17" xfId="0" applyNumberFormat="1" applyFont="1" applyFill="1" applyBorder="1" applyAlignment="1">
      <alignment horizontal="center" vertical="center" wrapText="1"/>
    </xf>
    <xf numFmtId="49" fontId="1" fillId="25" borderId="18" xfId="0" applyNumberFormat="1" applyFont="1" applyFill="1" applyBorder="1" applyAlignment="1">
      <alignment horizontal="center" vertical="center" wrapText="1"/>
    </xf>
    <xf numFmtId="0" fontId="1" fillId="25" borderId="23" xfId="0" applyFont="1" applyFill="1" applyBorder="1" applyAlignment="1">
      <alignment horizontal="center" vertical="center" wrapText="1"/>
    </xf>
    <xf numFmtId="0" fontId="1" fillId="25" borderId="21" xfId="0" applyFont="1" applyFill="1" applyBorder="1" applyAlignment="1">
      <alignment horizontal="center" vertical="center"/>
    </xf>
    <xf numFmtId="0" fontId="1" fillId="25" borderId="0" xfId="0" applyFont="1" applyFill="1" applyBorder="1" applyAlignment="1">
      <alignment horizontal="center" vertical="center"/>
    </xf>
    <xf numFmtId="0" fontId="1" fillId="25" borderId="20" xfId="0" applyFont="1" applyFill="1" applyBorder="1" applyAlignment="1">
      <alignment horizontal="center" vertical="center"/>
    </xf>
    <xf numFmtId="49" fontId="1" fillId="25" borderId="14" xfId="0" applyNumberFormat="1" applyFont="1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11" xfId="0" applyFill="1" applyBorder="1" applyAlignment="1">
      <alignment horizontal="center" vertical="center" wrapText="1"/>
    </xf>
    <xf numFmtId="49" fontId="1" fillId="25" borderId="15" xfId="0" applyNumberFormat="1" applyFont="1" applyFill="1" applyBorder="1" applyAlignment="1">
      <alignment horizontal="center" vertical="center" wrapText="1"/>
    </xf>
    <xf numFmtId="49" fontId="1" fillId="25" borderId="10" xfId="0" applyNumberFormat="1" applyFont="1" applyFill="1" applyBorder="1" applyAlignment="1">
      <alignment horizontal="center" vertical="center" wrapText="1"/>
    </xf>
    <xf numFmtId="49" fontId="1" fillId="25" borderId="11" xfId="0" applyNumberFormat="1" applyFont="1" applyFill="1" applyBorder="1" applyAlignment="1">
      <alignment horizontal="center" vertical="center" wrapText="1"/>
    </xf>
    <xf numFmtId="0" fontId="1" fillId="25" borderId="12" xfId="0" applyFont="1" applyFill="1" applyBorder="1" applyAlignment="1">
      <alignment horizontal="center" vertical="center" wrapText="1"/>
    </xf>
    <xf numFmtId="49" fontId="1" fillId="25" borderId="22" xfId="0" applyNumberFormat="1" applyFont="1" applyFill="1" applyBorder="1" applyAlignment="1">
      <alignment horizontal="center" vertical="center" wrapText="1"/>
    </xf>
    <xf numFmtId="0" fontId="1" fillId="25" borderId="14" xfId="0" applyFont="1" applyFill="1" applyBorder="1" applyAlignment="1">
      <alignment horizontal="center" vertical="center" wrapText="1"/>
    </xf>
    <xf numFmtId="0" fontId="1" fillId="25" borderId="11" xfId="0" applyFont="1" applyFill="1" applyBorder="1" applyAlignment="1">
      <alignment horizontal="center" vertical="center" wrapText="1"/>
    </xf>
    <xf numFmtId="0" fontId="1" fillId="25" borderId="24" xfId="0" applyFont="1" applyFill="1" applyBorder="1" applyAlignment="1">
      <alignment horizontal="center" vertical="center" wrapText="1"/>
    </xf>
    <xf numFmtId="0" fontId="1" fillId="25" borderId="15" xfId="0" applyFont="1" applyFill="1" applyBorder="1" applyAlignment="1">
      <alignment horizontal="center" vertical="center" wrapText="1"/>
    </xf>
    <xf numFmtId="0" fontId="1" fillId="25" borderId="24" xfId="0" applyFont="1" applyFill="1" applyBorder="1" applyAlignment="1">
      <alignment horizontal="center" vertical="center"/>
    </xf>
    <xf numFmtId="0" fontId="1" fillId="25" borderId="19" xfId="0" applyFont="1" applyFill="1" applyBorder="1" applyAlignment="1">
      <alignment horizontal="center" vertical="center"/>
    </xf>
    <xf numFmtId="0" fontId="1" fillId="25" borderId="23" xfId="0" applyFont="1" applyFill="1" applyBorder="1" applyAlignment="1">
      <alignment horizontal="center" vertical="center"/>
    </xf>
    <xf numFmtId="0" fontId="1" fillId="25" borderId="19" xfId="0" applyFont="1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49" fontId="1" fillId="25" borderId="21" xfId="0" applyNumberFormat="1" applyFont="1" applyFill="1" applyBorder="1" applyAlignment="1">
      <alignment horizontal="center" vertical="center" wrapText="1"/>
    </xf>
    <xf numFmtId="49" fontId="1" fillId="25" borderId="0" xfId="0" applyNumberFormat="1" applyFont="1" applyFill="1" applyBorder="1" applyAlignment="1">
      <alignment horizontal="center" vertical="center" wrapText="1"/>
    </xf>
    <xf numFmtId="49" fontId="1" fillId="25" borderId="20" xfId="0" applyNumberFormat="1" applyFont="1" applyFill="1" applyBorder="1" applyAlignment="1">
      <alignment horizontal="center" vertical="center" wrapText="1"/>
    </xf>
    <xf numFmtId="49" fontId="1" fillId="25" borderId="16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wrapText="1"/>
    </xf>
    <xf numFmtId="0" fontId="57" fillId="0" borderId="0" xfId="0" applyFont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7"/>
  <sheetViews>
    <sheetView tabSelected="1" view="pageBreakPreview" zoomScale="82" zoomScaleSheetLayoutView="82" zoomScalePageLayoutView="0" workbookViewId="0" topLeftCell="B1">
      <selection activeCell="F4" sqref="F4"/>
    </sheetView>
  </sheetViews>
  <sheetFormatPr defaultColWidth="9.140625" defaultRowHeight="12.75"/>
  <cols>
    <col min="1" max="1" width="10.8515625" style="75" customWidth="1"/>
    <col min="2" max="2" width="10.57421875" style="75" customWidth="1"/>
    <col min="3" max="3" width="12.140625" style="75" customWidth="1"/>
    <col min="4" max="4" width="47.57421875" style="75" customWidth="1"/>
    <col min="5" max="5" width="65.00390625" style="158" customWidth="1"/>
    <col min="6" max="6" width="17.00390625" style="75" customWidth="1"/>
    <col min="7" max="7" width="19.140625" style="75" customWidth="1"/>
    <col min="8" max="8" width="20.140625" style="75" customWidth="1"/>
    <col min="9" max="9" width="18.28125" style="100" customWidth="1"/>
    <col min="10" max="10" width="14.421875" style="100" customWidth="1"/>
    <col min="11" max="11" width="12.140625" style="75" customWidth="1"/>
    <col min="12" max="12" width="13.7109375" style="75" customWidth="1"/>
    <col min="13" max="13" width="11.57421875" style="92" customWidth="1"/>
    <col min="14" max="14" width="12.7109375" style="75" customWidth="1"/>
    <col min="15" max="16384" width="9.140625" style="75" customWidth="1"/>
  </cols>
  <sheetData>
    <row r="1" spans="6:9" ht="41.25" customHeight="1">
      <c r="F1" s="113" t="s">
        <v>353</v>
      </c>
      <c r="G1" s="124"/>
      <c r="H1" s="124"/>
      <c r="I1" s="115"/>
    </row>
    <row r="2" spans="6:9" ht="22.5" customHeight="1">
      <c r="F2" s="113" t="s">
        <v>352</v>
      </c>
      <c r="G2" s="124"/>
      <c r="H2" s="124"/>
      <c r="I2" s="116"/>
    </row>
    <row r="3" spans="6:9" ht="28.5" customHeight="1">
      <c r="F3" s="285" t="s">
        <v>206</v>
      </c>
      <c r="G3" s="124"/>
      <c r="H3" s="124"/>
      <c r="I3" s="116"/>
    </row>
    <row r="4" spans="5:9" ht="27" customHeight="1">
      <c r="E4" s="224"/>
      <c r="H4" s="124"/>
      <c r="I4" s="114"/>
    </row>
    <row r="6" spans="1:13" s="77" customFormat="1" ht="51.75" customHeight="1">
      <c r="A6" s="228" t="s">
        <v>354</v>
      </c>
      <c r="B6" s="228"/>
      <c r="C6" s="228"/>
      <c r="D6" s="228"/>
      <c r="E6" s="228"/>
      <c r="F6" s="228"/>
      <c r="G6" s="228"/>
      <c r="H6" s="228"/>
      <c r="I6" s="101"/>
      <c r="J6" s="101"/>
      <c r="M6" s="93"/>
    </row>
    <row r="7" ht="20.25" customHeight="1" hidden="1"/>
    <row r="8" ht="16.5" customHeight="1">
      <c r="H8" s="78" t="s">
        <v>345</v>
      </c>
    </row>
    <row r="9" spans="1:13" s="53" customFormat="1" ht="98.25" customHeight="1">
      <c r="A9" s="79" t="s">
        <v>346</v>
      </c>
      <c r="B9" s="79" t="s">
        <v>347</v>
      </c>
      <c r="C9" s="79" t="s">
        <v>348</v>
      </c>
      <c r="D9" s="80" t="s">
        <v>349</v>
      </c>
      <c r="E9" s="161" t="s">
        <v>350</v>
      </c>
      <c r="F9" s="112" t="s">
        <v>277</v>
      </c>
      <c r="G9" s="112" t="s">
        <v>280</v>
      </c>
      <c r="H9" s="80" t="s">
        <v>351</v>
      </c>
      <c r="I9" s="84"/>
      <c r="J9" s="20"/>
      <c r="M9" s="76"/>
    </row>
    <row r="10" spans="1:13" s="53" customFormat="1" ht="16.5" customHeight="1">
      <c r="A10" s="109">
        <v>1</v>
      </c>
      <c r="B10" s="80">
        <v>2</v>
      </c>
      <c r="C10" s="80">
        <v>3</v>
      </c>
      <c r="D10" s="80">
        <v>4</v>
      </c>
      <c r="E10" s="161">
        <v>5</v>
      </c>
      <c r="F10" s="80">
        <v>6</v>
      </c>
      <c r="G10" s="80">
        <v>7</v>
      </c>
      <c r="H10" s="80">
        <v>8</v>
      </c>
      <c r="I10" s="84"/>
      <c r="J10" s="84"/>
      <c r="M10" s="76"/>
    </row>
    <row r="11" spans="1:13" s="53" customFormat="1" ht="15.75">
      <c r="A11" s="163"/>
      <c r="B11" s="163" t="s">
        <v>384</v>
      </c>
      <c r="C11" s="163"/>
      <c r="D11" s="164" t="s">
        <v>255</v>
      </c>
      <c r="E11" s="161"/>
      <c r="F11" s="134">
        <f>F12+F14+F18+F22+F23+F26+F30+F31</f>
        <v>5634711</v>
      </c>
      <c r="G11" s="134">
        <f>G12+G18+G19</f>
        <v>3408631</v>
      </c>
      <c r="H11" s="139">
        <f>G11+F11</f>
        <v>9043342</v>
      </c>
      <c r="I11" s="83"/>
      <c r="J11" s="83"/>
      <c r="M11" s="76"/>
    </row>
    <row r="12" spans="1:13" s="53" customFormat="1" ht="43.5" customHeight="1">
      <c r="A12" s="163"/>
      <c r="B12" s="258" t="s">
        <v>416</v>
      </c>
      <c r="C12" s="258" t="s">
        <v>157</v>
      </c>
      <c r="D12" s="266" t="s">
        <v>417</v>
      </c>
      <c r="E12" s="160" t="s">
        <v>130</v>
      </c>
      <c r="F12" s="134"/>
      <c r="G12" s="117">
        <v>3148845</v>
      </c>
      <c r="H12" s="117">
        <f>G12+F12</f>
        <v>3148845</v>
      </c>
      <c r="I12" s="83"/>
      <c r="J12" s="83"/>
      <c r="M12" s="76"/>
    </row>
    <row r="13" spans="1:13" s="53" customFormat="1" ht="47.25" customHeight="1" hidden="1">
      <c r="A13" s="165"/>
      <c r="B13" s="263"/>
      <c r="C13" s="263"/>
      <c r="D13" s="267"/>
      <c r="E13" s="160" t="s">
        <v>344</v>
      </c>
      <c r="F13" s="130"/>
      <c r="G13" s="117"/>
      <c r="H13" s="117">
        <f aca="true" t="shared" si="0" ref="H13:H31">G13+F13</f>
        <v>0</v>
      </c>
      <c r="I13" s="84"/>
      <c r="J13" s="84"/>
      <c r="M13" s="76"/>
    </row>
    <row r="14" spans="1:13" s="53" customFormat="1" ht="47.25">
      <c r="A14" s="166"/>
      <c r="B14" s="278" t="s">
        <v>295</v>
      </c>
      <c r="C14" s="258" t="s">
        <v>158</v>
      </c>
      <c r="D14" s="266" t="s">
        <v>321</v>
      </c>
      <c r="E14" s="160" t="s">
        <v>118</v>
      </c>
      <c r="F14" s="130">
        <f>F15+F16</f>
        <v>606132</v>
      </c>
      <c r="G14" s="130"/>
      <c r="H14" s="117">
        <f t="shared" si="0"/>
        <v>606132</v>
      </c>
      <c r="I14" s="84"/>
      <c r="J14" s="84"/>
      <c r="M14" s="76"/>
    </row>
    <row r="15" spans="1:13" s="53" customFormat="1" ht="15.75">
      <c r="A15" s="165"/>
      <c r="B15" s="252"/>
      <c r="C15" s="261"/>
      <c r="D15" s="269"/>
      <c r="E15" s="205" t="s">
        <v>360</v>
      </c>
      <c r="F15" s="130">
        <v>552000</v>
      </c>
      <c r="G15" s="143"/>
      <c r="H15" s="117">
        <f t="shared" si="0"/>
        <v>552000</v>
      </c>
      <c r="I15" s="84"/>
      <c r="J15" s="84"/>
      <c r="M15" s="76"/>
    </row>
    <row r="16" spans="1:13" s="53" customFormat="1" ht="15.75">
      <c r="A16" s="169"/>
      <c r="B16" s="253"/>
      <c r="C16" s="263"/>
      <c r="D16" s="267"/>
      <c r="E16" s="171" t="s">
        <v>358</v>
      </c>
      <c r="F16" s="140">
        <v>54132</v>
      </c>
      <c r="G16" s="140"/>
      <c r="H16" s="140">
        <f t="shared" si="0"/>
        <v>54132</v>
      </c>
      <c r="I16" s="84"/>
      <c r="J16" s="84"/>
      <c r="M16" s="76"/>
    </row>
    <row r="17" spans="1:13" s="53" customFormat="1" ht="72" customHeight="1" hidden="1">
      <c r="A17" s="165"/>
      <c r="B17" s="165" t="s">
        <v>301</v>
      </c>
      <c r="C17" s="165"/>
      <c r="D17" s="172" t="s">
        <v>302</v>
      </c>
      <c r="E17" s="173" t="s">
        <v>356</v>
      </c>
      <c r="F17" s="130"/>
      <c r="G17" s="117"/>
      <c r="H17" s="140">
        <f t="shared" si="0"/>
        <v>0</v>
      </c>
      <c r="I17" s="84"/>
      <c r="J17" s="83"/>
      <c r="M17" s="76"/>
    </row>
    <row r="18" spans="1:13" s="53" customFormat="1" ht="72" customHeight="1">
      <c r="A18" s="165"/>
      <c r="B18" s="174" t="s">
        <v>315</v>
      </c>
      <c r="C18" s="168" t="s">
        <v>159</v>
      </c>
      <c r="D18" s="172" t="s">
        <v>478</v>
      </c>
      <c r="E18" s="205" t="s">
        <v>377</v>
      </c>
      <c r="F18" s="130"/>
      <c r="G18" s="117">
        <v>24546</v>
      </c>
      <c r="H18" s="132">
        <f t="shared" si="0"/>
        <v>24546</v>
      </c>
      <c r="I18" s="84"/>
      <c r="J18" s="83"/>
      <c r="M18" s="76"/>
    </row>
    <row r="19" spans="1:13" s="53" customFormat="1" ht="49.5" customHeight="1">
      <c r="A19" s="175"/>
      <c r="B19" s="255">
        <v>240900</v>
      </c>
      <c r="C19" s="258" t="s">
        <v>160</v>
      </c>
      <c r="D19" s="266" t="s">
        <v>475</v>
      </c>
      <c r="E19" s="160" t="s">
        <v>131</v>
      </c>
      <c r="F19" s="133"/>
      <c r="G19" s="117">
        <f>G20+G21</f>
        <v>235240</v>
      </c>
      <c r="H19" s="117">
        <f t="shared" si="0"/>
        <v>235240</v>
      </c>
      <c r="I19" s="84"/>
      <c r="J19" s="83"/>
      <c r="M19" s="76"/>
    </row>
    <row r="20" spans="1:13" s="53" customFormat="1" ht="15.75">
      <c r="A20" s="176"/>
      <c r="B20" s="256"/>
      <c r="C20" s="261"/>
      <c r="D20" s="269"/>
      <c r="E20" s="205" t="s">
        <v>360</v>
      </c>
      <c r="F20" s="133"/>
      <c r="G20" s="117">
        <f>78422+(135240)</f>
        <v>213662</v>
      </c>
      <c r="H20" s="117">
        <f t="shared" si="0"/>
        <v>213662</v>
      </c>
      <c r="I20" s="84"/>
      <c r="J20" s="83"/>
      <c r="M20" s="76"/>
    </row>
    <row r="21" spans="1:13" s="53" customFormat="1" ht="15.75">
      <c r="A21" s="177"/>
      <c r="B21" s="257"/>
      <c r="C21" s="261"/>
      <c r="D21" s="267"/>
      <c r="E21" s="118" t="s">
        <v>358</v>
      </c>
      <c r="F21" s="133"/>
      <c r="G21" s="117">
        <v>21578</v>
      </c>
      <c r="H21" s="117">
        <f t="shared" si="0"/>
        <v>21578</v>
      </c>
      <c r="I21" s="84"/>
      <c r="J21" s="83"/>
      <c r="M21" s="76"/>
    </row>
    <row r="22" spans="1:14" s="53" customFormat="1" ht="47.25">
      <c r="A22" s="231"/>
      <c r="B22" s="229">
        <v>250404</v>
      </c>
      <c r="C22" s="258" t="s">
        <v>160</v>
      </c>
      <c r="D22" s="273" t="s">
        <v>309</v>
      </c>
      <c r="E22" s="161" t="s">
        <v>376</v>
      </c>
      <c r="F22" s="129">
        <v>306507</v>
      </c>
      <c r="G22" s="148"/>
      <c r="H22" s="117">
        <f t="shared" si="0"/>
        <v>306507</v>
      </c>
      <c r="I22" s="84"/>
      <c r="J22" s="84"/>
      <c r="M22" s="94"/>
      <c r="N22" s="81"/>
    </row>
    <row r="23" spans="1:13" s="53" customFormat="1" ht="63">
      <c r="A23" s="231"/>
      <c r="B23" s="229"/>
      <c r="C23" s="261"/>
      <c r="D23" s="273"/>
      <c r="E23" s="161" t="s">
        <v>377</v>
      </c>
      <c r="F23" s="130">
        <f>F24+F25</f>
        <v>278408</v>
      </c>
      <c r="G23" s="130"/>
      <c r="H23" s="117">
        <f t="shared" si="0"/>
        <v>278408</v>
      </c>
      <c r="I23" s="84"/>
      <c r="J23" s="84"/>
      <c r="M23" s="76"/>
    </row>
    <row r="24" spans="1:13" s="53" customFormat="1" ht="15.75">
      <c r="A24" s="231"/>
      <c r="B24" s="229"/>
      <c r="C24" s="261"/>
      <c r="D24" s="273"/>
      <c r="E24" s="205" t="s">
        <v>360</v>
      </c>
      <c r="F24" s="130">
        <f>182607+53804</f>
        <v>236411</v>
      </c>
      <c r="G24" s="117"/>
      <c r="H24" s="117">
        <f t="shared" si="0"/>
        <v>236411</v>
      </c>
      <c r="I24" s="84"/>
      <c r="J24" s="84"/>
      <c r="M24" s="76"/>
    </row>
    <row r="25" spans="1:13" s="53" customFormat="1" ht="15.75">
      <c r="A25" s="231"/>
      <c r="B25" s="229"/>
      <c r="C25" s="261"/>
      <c r="D25" s="273"/>
      <c r="E25" s="171" t="s">
        <v>358</v>
      </c>
      <c r="F25" s="130">
        <v>41997</v>
      </c>
      <c r="G25" s="117"/>
      <c r="H25" s="117">
        <f t="shared" si="0"/>
        <v>41997</v>
      </c>
      <c r="I25" s="84"/>
      <c r="J25" s="84"/>
      <c r="M25" s="76"/>
    </row>
    <row r="26" spans="1:13" s="53" customFormat="1" ht="66" customHeight="1">
      <c r="A26" s="231"/>
      <c r="B26" s="229"/>
      <c r="C26" s="261"/>
      <c r="D26" s="273"/>
      <c r="E26" s="161" t="s">
        <v>365</v>
      </c>
      <c r="F26" s="130">
        <f>F27+F28</f>
        <v>4403887</v>
      </c>
      <c r="G26" s="130"/>
      <c r="H26" s="117">
        <f t="shared" si="0"/>
        <v>4403887</v>
      </c>
      <c r="I26" s="84"/>
      <c r="J26" s="84"/>
      <c r="M26" s="76"/>
    </row>
    <row r="27" spans="1:13" s="53" customFormat="1" ht="15.75">
      <c r="A27" s="231"/>
      <c r="B27" s="229"/>
      <c r="C27" s="261"/>
      <c r="D27" s="273"/>
      <c r="E27" s="205" t="s">
        <v>360</v>
      </c>
      <c r="F27" s="130">
        <f>4204513+182000</f>
        <v>4386513</v>
      </c>
      <c r="G27" s="117"/>
      <c r="H27" s="117">
        <f t="shared" si="0"/>
        <v>4386513</v>
      </c>
      <c r="I27" s="84"/>
      <c r="J27" s="84"/>
      <c r="M27" s="76"/>
    </row>
    <row r="28" spans="1:13" s="53" customFormat="1" ht="15.75">
      <c r="A28" s="231"/>
      <c r="B28" s="229"/>
      <c r="C28" s="261"/>
      <c r="D28" s="273"/>
      <c r="E28" s="171" t="s">
        <v>358</v>
      </c>
      <c r="F28" s="130">
        <v>17374</v>
      </c>
      <c r="G28" s="117"/>
      <c r="H28" s="117">
        <f t="shared" si="0"/>
        <v>17374</v>
      </c>
      <c r="I28" s="84"/>
      <c r="J28" s="84"/>
      <c r="M28" s="76"/>
    </row>
    <row r="29" spans="1:13" s="53" customFormat="1" ht="51.75" customHeight="1" hidden="1">
      <c r="A29" s="231"/>
      <c r="B29" s="229"/>
      <c r="C29" s="261"/>
      <c r="D29" s="273"/>
      <c r="E29" s="161" t="s">
        <v>101</v>
      </c>
      <c r="F29" s="130"/>
      <c r="G29" s="117"/>
      <c r="H29" s="117">
        <f t="shared" si="0"/>
        <v>0</v>
      </c>
      <c r="I29" s="84"/>
      <c r="J29" s="84"/>
      <c r="M29" s="76"/>
    </row>
    <row r="30" spans="1:13" s="53" customFormat="1" ht="49.5" customHeight="1">
      <c r="A30" s="231"/>
      <c r="B30" s="229"/>
      <c r="C30" s="261"/>
      <c r="D30" s="273"/>
      <c r="E30" s="161" t="s">
        <v>196</v>
      </c>
      <c r="F30" s="130">
        <v>35700</v>
      </c>
      <c r="G30" s="117"/>
      <c r="H30" s="117">
        <f t="shared" si="0"/>
        <v>35700</v>
      </c>
      <c r="I30" s="84"/>
      <c r="J30" s="84"/>
      <c r="M30" s="76"/>
    </row>
    <row r="31" spans="1:13" s="53" customFormat="1" ht="62.25" customHeight="1">
      <c r="A31" s="232"/>
      <c r="B31" s="230"/>
      <c r="C31" s="263"/>
      <c r="D31" s="254"/>
      <c r="E31" s="171" t="s">
        <v>197</v>
      </c>
      <c r="F31" s="130">
        <v>4077</v>
      </c>
      <c r="G31" s="117"/>
      <c r="H31" s="117">
        <f t="shared" si="0"/>
        <v>4077</v>
      </c>
      <c r="I31" s="84"/>
      <c r="J31" s="84"/>
      <c r="M31" s="76"/>
    </row>
    <row r="32" spans="1:13" s="53" customFormat="1" ht="31.5">
      <c r="A32" s="178"/>
      <c r="B32" s="178" t="s">
        <v>392</v>
      </c>
      <c r="C32" s="191"/>
      <c r="D32" s="179" t="s">
        <v>266</v>
      </c>
      <c r="E32" s="161"/>
      <c r="F32" s="134">
        <f>F33+F34+F35+F38+F39+F40+F41+F44+F45+F46+F47+F48+F49+F50+F51+F52+F55+F56+F57+F58+F59+F60+F61+F62+F63+F64+F66+F67+F70+F72+F73+F76+F77+F80+F81+F82+F83+F84+F85+F88+F91+F99+F102+F104+F105+F69+F71+F103+F92+F95+F98+F68</f>
        <v>118521282</v>
      </c>
      <c r="G32" s="134">
        <f>G33+G34+G35+G38+G39+G40+G41+G44+G45+G46+G47+G48+G49+G50+G51+G52+G55+G56+G57+G58+G59+G60+G61+G62+G63+G64+G66+G67+G70+G72+G73+G76+G77+G80+G81+G82+G83+G84+G85+G88+G91+G99+G102+G104+G105+G69+G71+G103+G92+G95+G98+G68</f>
        <v>58944586</v>
      </c>
      <c r="H32" s="134">
        <f>H33+H34+H35+H38+H39+H40+H41+H44+H45+H46+H47+H48+H49+H50+H51+H52+H55+H56+H57+H58+H59+H60+H61+H62+H63+H64+H66+H67+H70+H72+H73+H76+H77+H80+H81+H82+H83+H84+H85+H88+H91+H99+H102+H104+H105+H69+H71+H103+H92+H95+H98+H68</f>
        <v>177465868</v>
      </c>
      <c r="I32" s="83"/>
      <c r="J32" s="83"/>
      <c r="M32" s="76"/>
    </row>
    <row r="33" spans="1:13" s="53" customFormat="1" ht="43.5" customHeight="1" hidden="1">
      <c r="A33" s="258"/>
      <c r="B33" s="258" t="s">
        <v>416</v>
      </c>
      <c r="C33" s="166"/>
      <c r="D33" s="266" t="s">
        <v>417</v>
      </c>
      <c r="E33" s="160" t="s">
        <v>355</v>
      </c>
      <c r="F33" s="130"/>
      <c r="G33" s="117"/>
      <c r="H33" s="117">
        <f aca="true" t="shared" si="1" ref="H33:H105">F33+G33</f>
        <v>0</v>
      </c>
      <c r="I33" s="84"/>
      <c r="J33" s="84"/>
      <c r="M33" s="76"/>
    </row>
    <row r="34" spans="1:13" s="53" customFormat="1" ht="62.25" customHeight="1">
      <c r="A34" s="263"/>
      <c r="B34" s="261"/>
      <c r="C34" s="165" t="s">
        <v>157</v>
      </c>
      <c r="D34" s="267"/>
      <c r="E34" s="161" t="s">
        <v>132</v>
      </c>
      <c r="F34" s="130">
        <v>339</v>
      </c>
      <c r="G34" s="161"/>
      <c r="H34" s="117">
        <f t="shared" si="1"/>
        <v>339</v>
      </c>
      <c r="I34" s="84"/>
      <c r="J34" s="83"/>
      <c r="M34" s="76"/>
    </row>
    <row r="35" spans="1:13" s="53" customFormat="1" ht="33" customHeight="1">
      <c r="A35" s="265"/>
      <c r="B35" s="278" t="s">
        <v>284</v>
      </c>
      <c r="C35" s="258" t="s">
        <v>161</v>
      </c>
      <c r="D35" s="264" t="s">
        <v>324</v>
      </c>
      <c r="E35" s="161" t="s">
        <v>121</v>
      </c>
      <c r="F35" s="130">
        <f>F36+F37</f>
        <v>29996245</v>
      </c>
      <c r="G35" s="130">
        <f>G36+G37</f>
        <v>8960869</v>
      </c>
      <c r="H35" s="117">
        <f t="shared" si="1"/>
        <v>38957114</v>
      </c>
      <c r="I35" s="83"/>
      <c r="J35" s="83"/>
      <c r="L35" s="81"/>
      <c r="M35" s="94"/>
    </row>
    <row r="36" spans="1:13" s="53" customFormat="1" ht="21.75" customHeight="1">
      <c r="A36" s="265"/>
      <c r="B36" s="252"/>
      <c r="C36" s="261"/>
      <c r="D36" s="264"/>
      <c r="E36" s="205" t="s">
        <v>360</v>
      </c>
      <c r="F36" s="130">
        <f>24811873+341350+4782022</f>
        <v>29935245</v>
      </c>
      <c r="G36" s="117">
        <f>2515882+(4600730)+237400</f>
        <v>7354012</v>
      </c>
      <c r="H36" s="117">
        <f t="shared" si="1"/>
        <v>37289257</v>
      </c>
      <c r="I36" s="83"/>
      <c r="J36" s="83"/>
      <c r="L36" s="81"/>
      <c r="M36" s="94"/>
    </row>
    <row r="37" spans="1:13" s="53" customFormat="1" ht="23.25" customHeight="1">
      <c r="A37" s="265"/>
      <c r="B37" s="252"/>
      <c r="C37" s="261"/>
      <c r="D37" s="264"/>
      <c r="E37" s="171" t="s">
        <v>358</v>
      </c>
      <c r="F37" s="130">
        <v>61000</v>
      </c>
      <c r="G37" s="117">
        <v>1606857</v>
      </c>
      <c r="H37" s="117">
        <f t="shared" si="1"/>
        <v>1667857</v>
      </c>
      <c r="I37" s="83"/>
      <c r="J37" s="83"/>
      <c r="L37" s="81"/>
      <c r="M37" s="94"/>
    </row>
    <row r="38" spans="1:13" s="53" customFormat="1" ht="63">
      <c r="A38" s="265"/>
      <c r="B38" s="252"/>
      <c r="C38" s="261"/>
      <c r="D38" s="264"/>
      <c r="E38" s="171" t="s">
        <v>361</v>
      </c>
      <c r="F38" s="135"/>
      <c r="G38" s="135">
        <v>120852</v>
      </c>
      <c r="H38" s="131">
        <f t="shared" si="1"/>
        <v>120852</v>
      </c>
      <c r="I38" s="84"/>
      <c r="J38" s="84"/>
      <c r="M38" s="76"/>
    </row>
    <row r="39" spans="1:13" s="53" customFormat="1" ht="31.5">
      <c r="A39" s="265"/>
      <c r="B39" s="252"/>
      <c r="C39" s="261"/>
      <c r="D39" s="264"/>
      <c r="E39" s="180" t="s">
        <v>135</v>
      </c>
      <c r="F39" s="137">
        <f>590000</f>
        <v>590000</v>
      </c>
      <c r="G39" s="181">
        <f>400000</f>
        <v>400000</v>
      </c>
      <c r="H39" s="117">
        <f t="shared" si="1"/>
        <v>990000</v>
      </c>
      <c r="I39" s="84"/>
      <c r="J39" s="84"/>
      <c r="M39" s="76"/>
    </row>
    <row r="40" spans="1:13" s="53" customFormat="1" ht="64.5" customHeight="1">
      <c r="A40" s="265"/>
      <c r="B40" s="252"/>
      <c r="C40" s="263"/>
      <c r="D40" s="264"/>
      <c r="E40" s="161" t="s">
        <v>132</v>
      </c>
      <c r="F40" s="130">
        <v>151646</v>
      </c>
      <c r="G40" s="131"/>
      <c r="H40" s="117">
        <f t="shared" si="1"/>
        <v>151646</v>
      </c>
      <c r="I40" s="84"/>
      <c r="J40" s="84"/>
      <c r="M40" s="76"/>
    </row>
    <row r="41" spans="1:13" s="53" customFormat="1" ht="31.5">
      <c r="A41" s="265"/>
      <c r="B41" s="258" t="s">
        <v>285</v>
      </c>
      <c r="C41" s="258" t="s">
        <v>162</v>
      </c>
      <c r="D41" s="262" t="s">
        <v>325</v>
      </c>
      <c r="E41" s="161" t="s">
        <v>121</v>
      </c>
      <c r="F41" s="130">
        <f>F42+F43</f>
        <v>36905183</v>
      </c>
      <c r="G41" s="130">
        <f>G42+G43</f>
        <v>7631569</v>
      </c>
      <c r="H41" s="117">
        <f t="shared" si="1"/>
        <v>44536752</v>
      </c>
      <c r="I41" s="83"/>
      <c r="J41" s="83"/>
      <c r="K41" s="81"/>
      <c r="L41" s="81"/>
      <c r="M41" s="76"/>
    </row>
    <row r="42" spans="1:13" s="53" customFormat="1" ht="15.75">
      <c r="A42" s="265"/>
      <c r="B42" s="261"/>
      <c r="C42" s="261"/>
      <c r="D42" s="262"/>
      <c r="E42" s="205" t="s">
        <v>360</v>
      </c>
      <c r="F42" s="130">
        <f>34854232+1464275+555078</f>
        <v>36873585</v>
      </c>
      <c r="G42" s="117">
        <f>3437757+179202+(3160580)</f>
        <v>6777539</v>
      </c>
      <c r="H42" s="117">
        <f t="shared" si="1"/>
        <v>43651124</v>
      </c>
      <c r="I42" s="83"/>
      <c r="J42" s="83"/>
      <c r="K42" s="81"/>
      <c r="L42" s="81"/>
      <c r="M42" s="76"/>
    </row>
    <row r="43" spans="1:13" s="53" customFormat="1" ht="15.75">
      <c r="A43" s="265"/>
      <c r="B43" s="261"/>
      <c r="C43" s="261"/>
      <c r="D43" s="262"/>
      <c r="E43" s="171" t="s">
        <v>358</v>
      </c>
      <c r="F43" s="130">
        <v>31598</v>
      </c>
      <c r="G43" s="117">
        <v>854030</v>
      </c>
      <c r="H43" s="117">
        <f t="shared" si="1"/>
        <v>885628</v>
      </c>
      <c r="I43" s="83"/>
      <c r="J43" s="83"/>
      <c r="K43" s="81"/>
      <c r="L43" s="81"/>
      <c r="M43" s="76"/>
    </row>
    <row r="44" spans="1:13" s="53" customFormat="1" ht="39.75" customHeight="1">
      <c r="A44" s="265"/>
      <c r="B44" s="261"/>
      <c r="C44" s="261"/>
      <c r="D44" s="262"/>
      <c r="E44" s="161" t="s">
        <v>122</v>
      </c>
      <c r="F44" s="130">
        <v>556974</v>
      </c>
      <c r="G44" s="117">
        <v>126032</v>
      </c>
      <c r="H44" s="117">
        <f t="shared" si="1"/>
        <v>683006</v>
      </c>
      <c r="I44" s="84"/>
      <c r="J44" s="84"/>
      <c r="M44" s="76"/>
    </row>
    <row r="45" spans="1:13" s="53" customFormat="1" ht="61.5" customHeight="1">
      <c r="A45" s="265"/>
      <c r="B45" s="261"/>
      <c r="C45" s="261"/>
      <c r="D45" s="262"/>
      <c r="E45" s="171" t="s">
        <v>362</v>
      </c>
      <c r="F45" s="135"/>
      <c r="G45" s="135">
        <v>293353</v>
      </c>
      <c r="H45" s="135">
        <f>F45+G45</f>
        <v>293353</v>
      </c>
      <c r="I45" s="84"/>
      <c r="J45" s="84"/>
      <c r="M45" s="76"/>
    </row>
    <row r="46" spans="1:13" s="53" customFormat="1" ht="31.5">
      <c r="A46" s="265"/>
      <c r="B46" s="261"/>
      <c r="C46" s="261"/>
      <c r="D46" s="262"/>
      <c r="E46" s="180" t="s">
        <v>135</v>
      </c>
      <c r="F46" s="137">
        <f>995300</f>
        <v>995300</v>
      </c>
      <c r="G46" s="182">
        <f>965000-6000</f>
        <v>959000</v>
      </c>
      <c r="H46" s="117">
        <f t="shared" si="1"/>
        <v>1954300</v>
      </c>
      <c r="I46" s="84"/>
      <c r="J46" s="84"/>
      <c r="M46" s="76"/>
    </row>
    <row r="47" spans="1:13" s="53" customFormat="1" ht="61.5" customHeight="1">
      <c r="A47" s="278"/>
      <c r="B47" s="263"/>
      <c r="C47" s="263"/>
      <c r="D47" s="262"/>
      <c r="E47" s="161" t="s">
        <v>132</v>
      </c>
      <c r="F47" s="130">
        <v>313147</v>
      </c>
      <c r="G47" s="131"/>
      <c r="H47" s="117">
        <f t="shared" si="1"/>
        <v>313147</v>
      </c>
      <c r="I47" s="84"/>
      <c r="J47" s="84"/>
      <c r="M47" s="76"/>
    </row>
    <row r="48" spans="1:13" s="53" customFormat="1" ht="35.25" customHeight="1">
      <c r="A48" s="258"/>
      <c r="B48" s="258" t="s">
        <v>286</v>
      </c>
      <c r="C48" s="258" t="s">
        <v>162</v>
      </c>
      <c r="D48" s="266" t="s">
        <v>326</v>
      </c>
      <c r="E48" s="161" t="s">
        <v>121</v>
      </c>
      <c r="F48" s="130">
        <f>19786+1872</f>
        <v>21658</v>
      </c>
      <c r="G48" s="117">
        <f>17000+(88550)</f>
        <v>105550</v>
      </c>
      <c r="H48" s="117">
        <f t="shared" si="1"/>
        <v>127208</v>
      </c>
      <c r="I48" s="83"/>
      <c r="J48" s="83"/>
      <c r="L48" s="81"/>
      <c r="M48" s="76"/>
    </row>
    <row r="49" spans="1:13" s="53" customFormat="1" ht="63.75" customHeight="1">
      <c r="A49" s="261"/>
      <c r="B49" s="261"/>
      <c r="C49" s="261"/>
      <c r="D49" s="269"/>
      <c r="E49" s="161" t="s">
        <v>132</v>
      </c>
      <c r="F49" s="130">
        <v>4360</v>
      </c>
      <c r="G49" s="117"/>
      <c r="H49" s="117">
        <f t="shared" si="1"/>
        <v>4360</v>
      </c>
      <c r="I49" s="84"/>
      <c r="J49" s="84"/>
      <c r="M49" s="76"/>
    </row>
    <row r="50" spans="1:13" s="53" customFormat="1" ht="63">
      <c r="A50" s="261"/>
      <c r="B50" s="261"/>
      <c r="C50" s="261"/>
      <c r="D50" s="269"/>
      <c r="E50" s="171" t="s">
        <v>361</v>
      </c>
      <c r="F50" s="135"/>
      <c r="G50" s="135">
        <v>4500</v>
      </c>
      <c r="H50" s="135">
        <f t="shared" si="1"/>
        <v>4500</v>
      </c>
      <c r="I50" s="83"/>
      <c r="J50" s="83"/>
      <c r="M50" s="76"/>
    </row>
    <row r="51" spans="1:13" s="53" customFormat="1" ht="47.25" customHeight="1">
      <c r="A51" s="263"/>
      <c r="B51" s="263"/>
      <c r="C51" s="263"/>
      <c r="D51" s="267"/>
      <c r="E51" s="180" t="s">
        <v>135</v>
      </c>
      <c r="F51" s="137">
        <f>10000</f>
        <v>10000</v>
      </c>
      <c r="G51" s="182">
        <f>50000</f>
        <v>50000</v>
      </c>
      <c r="H51" s="117">
        <f t="shared" si="1"/>
        <v>60000</v>
      </c>
      <c r="I51" s="83"/>
      <c r="J51" s="83"/>
      <c r="M51" s="76"/>
    </row>
    <row r="52" spans="1:13" s="53" customFormat="1" ht="39" customHeight="1">
      <c r="A52" s="262"/>
      <c r="B52" s="258" t="s">
        <v>243</v>
      </c>
      <c r="C52" s="258" t="s">
        <v>163</v>
      </c>
      <c r="D52" s="233" t="s">
        <v>244</v>
      </c>
      <c r="E52" s="161" t="s">
        <v>123</v>
      </c>
      <c r="F52" s="130">
        <f>F53+F54</f>
        <v>35336364</v>
      </c>
      <c r="G52" s="130">
        <f>G53+G54</f>
        <v>745064</v>
      </c>
      <c r="H52" s="117">
        <f t="shared" si="1"/>
        <v>36081428</v>
      </c>
      <c r="I52" s="83"/>
      <c r="J52" s="83"/>
      <c r="M52" s="76"/>
    </row>
    <row r="53" spans="1:13" s="53" customFormat="1" ht="18" customHeight="1">
      <c r="A53" s="263"/>
      <c r="B53" s="261"/>
      <c r="C53" s="261"/>
      <c r="D53" s="267"/>
      <c r="E53" s="205" t="s">
        <v>360</v>
      </c>
      <c r="F53" s="130">
        <f>34374429+878450+2991</f>
        <v>35255870</v>
      </c>
      <c r="G53" s="117">
        <f>387070+185900+(112120)</f>
        <v>685090</v>
      </c>
      <c r="H53" s="117">
        <f t="shared" si="1"/>
        <v>35940960</v>
      </c>
      <c r="I53" s="83"/>
      <c r="J53" s="83"/>
      <c r="M53" s="76"/>
    </row>
    <row r="54" spans="1:13" s="53" customFormat="1" ht="19.5" customHeight="1">
      <c r="A54" s="263"/>
      <c r="B54" s="261"/>
      <c r="C54" s="261"/>
      <c r="D54" s="267"/>
      <c r="E54" s="171" t="s">
        <v>358</v>
      </c>
      <c r="F54" s="130">
        <v>80494</v>
      </c>
      <c r="G54" s="117">
        <v>59974</v>
      </c>
      <c r="H54" s="117">
        <f t="shared" si="1"/>
        <v>140468</v>
      </c>
      <c r="I54" s="83"/>
      <c r="J54" s="83"/>
      <c r="M54" s="76"/>
    </row>
    <row r="55" spans="1:14" s="53" customFormat="1" ht="47.25">
      <c r="A55" s="262"/>
      <c r="B55" s="261"/>
      <c r="C55" s="261"/>
      <c r="D55" s="233"/>
      <c r="E55" s="171" t="s">
        <v>359</v>
      </c>
      <c r="F55" s="131"/>
      <c r="G55" s="131">
        <v>4000</v>
      </c>
      <c r="H55" s="135">
        <f t="shared" si="1"/>
        <v>4000</v>
      </c>
      <c r="I55" s="84"/>
      <c r="J55" s="84"/>
      <c r="M55" s="94"/>
      <c r="N55" s="81"/>
    </row>
    <row r="56" spans="1:14" s="53" customFormat="1" ht="31.5">
      <c r="A56" s="262"/>
      <c r="B56" s="261"/>
      <c r="C56" s="261"/>
      <c r="D56" s="233"/>
      <c r="E56" s="180" t="s">
        <v>135</v>
      </c>
      <c r="F56" s="149">
        <f>50000+10000</f>
        <v>60000</v>
      </c>
      <c r="G56" s="149">
        <f>75000</f>
        <v>75000</v>
      </c>
      <c r="H56" s="149">
        <f t="shared" si="1"/>
        <v>135000</v>
      </c>
      <c r="I56" s="84"/>
      <c r="J56" s="84"/>
      <c r="M56" s="94"/>
      <c r="N56" s="81"/>
    </row>
    <row r="57" spans="1:13" s="53" customFormat="1" ht="66.75" customHeight="1">
      <c r="A57" s="262"/>
      <c r="B57" s="263"/>
      <c r="C57" s="263"/>
      <c r="D57" s="233"/>
      <c r="E57" s="161" t="s">
        <v>132</v>
      </c>
      <c r="F57" s="117">
        <v>13221</v>
      </c>
      <c r="G57" s="131"/>
      <c r="H57" s="117">
        <f t="shared" si="1"/>
        <v>13221</v>
      </c>
      <c r="I57" s="84"/>
      <c r="J57" s="84"/>
      <c r="M57" s="76"/>
    </row>
    <row r="58" spans="1:13" s="53" customFormat="1" ht="63.75" customHeight="1">
      <c r="A58" s="258"/>
      <c r="B58" s="258" t="s">
        <v>532</v>
      </c>
      <c r="C58" s="258" t="s">
        <v>164</v>
      </c>
      <c r="D58" s="266" t="s">
        <v>531</v>
      </c>
      <c r="E58" s="161" t="s">
        <v>132</v>
      </c>
      <c r="F58" s="117">
        <v>678</v>
      </c>
      <c r="G58" s="131"/>
      <c r="H58" s="117">
        <f t="shared" si="1"/>
        <v>678</v>
      </c>
      <c r="I58" s="84"/>
      <c r="J58" s="84"/>
      <c r="M58" s="76"/>
    </row>
    <row r="59" spans="1:13" s="53" customFormat="1" ht="33" customHeight="1">
      <c r="A59" s="263"/>
      <c r="B59" s="263"/>
      <c r="C59" s="263"/>
      <c r="D59" s="267"/>
      <c r="E59" s="161" t="s">
        <v>121</v>
      </c>
      <c r="F59" s="132"/>
      <c r="G59" s="117">
        <v>15000</v>
      </c>
      <c r="H59" s="117">
        <f t="shared" si="1"/>
        <v>15000</v>
      </c>
      <c r="I59" s="84"/>
      <c r="J59" s="83"/>
      <c r="M59" s="76"/>
    </row>
    <row r="60" spans="1:13" s="53" customFormat="1" ht="39" customHeight="1">
      <c r="A60" s="258"/>
      <c r="B60" s="258" t="s">
        <v>47</v>
      </c>
      <c r="C60" s="166" t="s">
        <v>164</v>
      </c>
      <c r="D60" s="266" t="s">
        <v>115</v>
      </c>
      <c r="E60" s="161" t="s">
        <v>121</v>
      </c>
      <c r="F60" s="117"/>
      <c r="G60" s="117">
        <v>17400</v>
      </c>
      <c r="H60" s="117">
        <f t="shared" si="1"/>
        <v>17400</v>
      </c>
      <c r="I60" s="84"/>
      <c r="J60" s="83"/>
      <c r="M60" s="76"/>
    </row>
    <row r="61" spans="1:13" s="53" customFormat="1" ht="63.75" customHeight="1" hidden="1">
      <c r="A61" s="263"/>
      <c r="B61" s="263"/>
      <c r="C61" s="169"/>
      <c r="D61" s="267"/>
      <c r="E61" s="161" t="s">
        <v>341</v>
      </c>
      <c r="F61" s="117"/>
      <c r="G61" s="117"/>
      <c r="H61" s="117">
        <f t="shared" si="1"/>
        <v>0</v>
      </c>
      <c r="I61" s="84"/>
      <c r="J61" s="84"/>
      <c r="M61" s="76"/>
    </row>
    <row r="62" spans="1:13" s="53" customFormat="1" ht="31.5">
      <c r="A62" s="258"/>
      <c r="B62" s="258" t="s">
        <v>539</v>
      </c>
      <c r="C62" s="258" t="s">
        <v>164</v>
      </c>
      <c r="D62" s="266" t="s">
        <v>540</v>
      </c>
      <c r="E62" s="161" t="s">
        <v>121</v>
      </c>
      <c r="F62" s="117"/>
      <c r="G62" s="117">
        <v>197485</v>
      </c>
      <c r="H62" s="117">
        <f t="shared" si="1"/>
        <v>197485</v>
      </c>
      <c r="I62" s="83"/>
      <c r="J62" s="83"/>
      <c r="L62" s="81"/>
      <c r="M62" s="76"/>
    </row>
    <row r="63" spans="1:13" s="53" customFormat="1" ht="63">
      <c r="A63" s="261"/>
      <c r="B63" s="261"/>
      <c r="C63" s="263"/>
      <c r="D63" s="269"/>
      <c r="E63" s="161" t="s">
        <v>132</v>
      </c>
      <c r="F63" s="117">
        <v>3165</v>
      </c>
      <c r="G63" s="117"/>
      <c r="H63" s="117">
        <f t="shared" si="1"/>
        <v>3165</v>
      </c>
      <c r="I63" s="83"/>
      <c r="J63" s="83"/>
      <c r="M63" s="76"/>
    </row>
    <row r="64" spans="1:13" s="53" customFormat="1" ht="65.25" customHeight="1">
      <c r="A64" s="278"/>
      <c r="B64" s="258" t="s">
        <v>533</v>
      </c>
      <c r="C64" s="258" t="s">
        <v>164</v>
      </c>
      <c r="D64" s="266" t="s">
        <v>534</v>
      </c>
      <c r="E64" s="161" t="s">
        <v>132</v>
      </c>
      <c r="F64" s="117">
        <v>8407</v>
      </c>
      <c r="G64" s="131"/>
      <c r="H64" s="117">
        <f t="shared" si="1"/>
        <v>8407</v>
      </c>
      <c r="I64" s="84"/>
      <c r="J64" s="84"/>
      <c r="M64" s="76"/>
    </row>
    <row r="65" spans="1:13" s="53" customFormat="1" ht="50.25" customHeight="1" hidden="1">
      <c r="A65" s="252"/>
      <c r="B65" s="261"/>
      <c r="C65" s="261"/>
      <c r="D65" s="269"/>
      <c r="E65" s="160"/>
      <c r="F65" s="117"/>
      <c r="G65" s="138">
        <f>16000-16000</f>
        <v>0</v>
      </c>
      <c r="H65" s="117">
        <f t="shared" si="1"/>
        <v>0</v>
      </c>
      <c r="I65" s="84"/>
      <c r="J65" s="84"/>
      <c r="M65" s="76"/>
    </row>
    <row r="66" spans="1:13" s="53" customFormat="1" ht="36" customHeight="1">
      <c r="A66" s="168"/>
      <c r="B66" s="261"/>
      <c r="C66" s="263"/>
      <c r="D66" s="267"/>
      <c r="E66" s="161" t="s">
        <v>121</v>
      </c>
      <c r="F66" s="117">
        <f>21375</f>
        <v>21375</v>
      </c>
      <c r="G66" s="117">
        <f>58710+(77300)</f>
        <v>136010</v>
      </c>
      <c r="H66" s="117">
        <f t="shared" si="1"/>
        <v>157385</v>
      </c>
      <c r="I66" s="84"/>
      <c r="J66" s="84"/>
      <c r="M66" s="76"/>
    </row>
    <row r="67" spans="1:13" s="53" customFormat="1" ht="33.75" customHeight="1">
      <c r="A67" s="166"/>
      <c r="B67" s="275" t="s">
        <v>357</v>
      </c>
      <c r="C67" s="258" t="s">
        <v>164</v>
      </c>
      <c r="D67" s="266" t="s">
        <v>336</v>
      </c>
      <c r="E67" s="161" t="s">
        <v>121</v>
      </c>
      <c r="F67" s="117">
        <v>142000</v>
      </c>
      <c r="G67" s="117">
        <f>10000+(88320)</f>
        <v>98320</v>
      </c>
      <c r="H67" s="117">
        <f t="shared" si="1"/>
        <v>240320</v>
      </c>
      <c r="I67" s="84"/>
      <c r="J67" s="84"/>
      <c r="M67" s="76"/>
    </row>
    <row r="68" spans="1:13" s="53" customFormat="1" ht="33.75" customHeight="1">
      <c r="A68" s="165"/>
      <c r="B68" s="276"/>
      <c r="C68" s="261"/>
      <c r="D68" s="269"/>
      <c r="E68" s="180" t="s">
        <v>135</v>
      </c>
      <c r="F68" s="117"/>
      <c r="G68" s="149">
        <v>6000</v>
      </c>
      <c r="H68" s="149">
        <f t="shared" si="1"/>
        <v>6000</v>
      </c>
      <c r="I68" s="84"/>
      <c r="J68" s="84"/>
      <c r="M68" s="76"/>
    </row>
    <row r="69" spans="1:13" s="53" customFormat="1" ht="62.25" customHeight="1">
      <c r="A69" s="165"/>
      <c r="B69" s="276"/>
      <c r="C69" s="263"/>
      <c r="D69" s="269"/>
      <c r="E69" s="161" t="s">
        <v>132</v>
      </c>
      <c r="F69" s="117">
        <v>6134</v>
      </c>
      <c r="G69" s="138"/>
      <c r="H69" s="117">
        <f t="shared" si="1"/>
        <v>6134</v>
      </c>
      <c r="I69" s="84"/>
      <c r="J69" s="84"/>
      <c r="M69" s="76"/>
    </row>
    <row r="70" spans="1:13" s="53" customFormat="1" ht="31.5">
      <c r="A70" s="247"/>
      <c r="B70" s="247" t="s">
        <v>298</v>
      </c>
      <c r="C70" s="213" t="s">
        <v>165</v>
      </c>
      <c r="D70" s="266" t="s">
        <v>245</v>
      </c>
      <c r="E70" s="160" t="s">
        <v>133</v>
      </c>
      <c r="F70" s="129">
        <v>393846</v>
      </c>
      <c r="G70" s="129"/>
      <c r="H70" s="117">
        <f t="shared" si="1"/>
        <v>393846</v>
      </c>
      <c r="I70" s="84"/>
      <c r="J70" s="84"/>
      <c r="M70" s="76"/>
    </row>
    <row r="71" spans="1:13" s="53" customFormat="1" ht="51.75" customHeight="1">
      <c r="A71" s="248"/>
      <c r="B71" s="248"/>
      <c r="C71" s="214"/>
      <c r="D71" s="267"/>
      <c r="E71" s="160" t="s">
        <v>129</v>
      </c>
      <c r="F71" s="129">
        <v>63704</v>
      </c>
      <c r="G71" s="183"/>
      <c r="H71" s="117">
        <f t="shared" si="1"/>
        <v>63704</v>
      </c>
      <c r="I71" s="84"/>
      <c r="J71" s="84"/>
      <c r="M71" s="76"/>
    </row>
    <row r="72" spans="1:14" s="53" customFormat="1" ht="78.75">
      <c r="A72" s="165"/>
      <c r="B72" s="165" t="s">
        <v>287</v>
      </c>
      <c r="C72" s="165" t="s">
        <v>165</v>
      </c>
      <c r="D72" s="172" t="s">
        <v>320</v>
      </c>
      <c r="E72" s="161" t="s">
        <v>124</v>
      </c>
      <c r="F72" s="130">
        <f>5276598+2010185</f>
        <v>7286783</v>
      </c>
      <c r="G72" s="143"/>
      <c r="H72" s="117">
        <f t="shared" si="1"/>
        <v>7286783</v>
      </c>
      <c r="I72" s="84"/>
      <c r="J72" s="84"/>
      <c r="M72" s="94"/>
      <c r="N72" s="81"/>
    </row>
    <row r="73" spans="1:13" s="53" customFormat="1" ht="31.5">
      <c r="A73" s="166"/>
      <c r="B73" s="275" t="s">
        <v>408</v>
      </c>
      <c r="C73" s="258" t="s">
        <v>166</v>
      </c>
      <c r="D73" s="268" t="s">
        <v>409</v>
      </c>
      <c r="E73" s="160" t="s">
        <v>125</v>
      </c>
      <c r="F73" s="130">
        <f>F74+F75</f>
        <v>199537</v>
      </c>
      <c r="G73" s="143"/>
      <c r="H73" s="117">
        <f t="shared" si="1"/>
        <v>199537</v>
      </c>
      <c r="I73" s="84"/>
      <c r="J73" s="84"/>
      <c r="M73" s="76"/>
    </row>
    <row r="74" spans="1:13" s="53" customFormat="1" ht="15.75">
      <c r="A74" s="165"/>
      <c r="B74" s="276"/>
      <c r="C74" s="261"/>
      <c r="D74" s="273"/>
      <c r="E74" s="205" t="s">
        <v>360</v>
      </c>
      <c r="F74" s="130">
        <f>172717+20000</f>
        <v>192717</v>
      </c>
      <c r="G74" s="143"/>
      <c r="H74" s="117">
        <f t="shared" si="1"/>
        <v>192717</v>
      </c>
      <c r="I74" s="84"/>
      <c r="J74" s="84"/>
      <c r="M74" s="76"/>
    </row>
    <row r="75" spans="1:13" s="53" customFormat="1" ht="15.75">
      <c r="A75" s="169"/>
      <c r="B75" s="277"/>
      <c r="C75" s="263"/>
      <c r="D75" s="254"/>
      <c r="E75" s="171" t="s">
        <v>358</v>
      </c>
      <c r="F75" s="130">
        <v>6820</v>
      </c>
      <c r="G75" s="143"/>
      <c r="H75" s="117">
        <f t="shared" si="1"/>
        <v>6820</v>
      </c>
      <c r="I75" s="84"/>
      <c r="J75" s="84"/>
      <c r="M75" s="76"/>
    </row>
    <row r="76" spans="1:13" s="53" customFormat="1" ht="31.5">
      <c r="A76" s="184"/>
      <c r="B76" s="184" t="s">
        <v>492</v>
      </c>
      <c r="C76" s="184" t="s">
        <v>166</v>
      </c>
      <c r="D76" s="161" t="s">
        <v>493</v>
      </c>
      <c r="E76" s="160" t="s">
        <v>125</v>
      </c>
      <c r="F76" s="130">
        <f>60233+10000</f>
        <v>70233</v>
      </c>
      <c r="G76" s="117"/>
      <c r="H76" s="117">
        <f t="shared" si="1"/>
        <v>70233</v>
      </c>
      <c r="I76" s="84"/>
      <c r="J76" s="84"/>
      <c r="M76" s="76"/>
    </row>
    <row r="77" spans="1:13" s="53" customFormat="1" ht="31.5" customHeight="1">
      <c r="A77" s="249"/>
      <c r="B77" s="258">
        <v>130107</v>
      </c>
      <c r="C77" s="258" t="s">
        <v>166</v>
      </c>
      <c r="D77" s="266" t="s">
        <v>442</v>
      </c>
      <c r="E77" s="160" t="s">
        <v>125</v>
      </c>
      <c r="F77" s="130">
        <f>F78+F79</f>
        <v>344276</v>
      </c>
      <c r="G77" s="130">
        <f>G78+G79</f>
        <v>105400</v>
      </c>
      <c r="H77" s="117">
        <f t="shared" si="1"/>
        <v>449676</v>
      </c>
      <c r="I77" s="84"/>
      <c r="J77" s="83"/>
      <c r="L77" s="81"/>
      <c r="M77" s="76"/>
    </row>
    <row r="78" spans="1:13" s="53" customFormat="1" ht="21" customHeight="1">
      <c r="A78" s="250"/>
      <c r="B78" s="261"/>
      <c r="C78" s="261"/>
      <c r="D78" s="269"/>
      <c r="E78" s="205" t="s">
        <v>360</v>
      </c>
      <c r="F78" s="130">
        <f>273276+70000</f>
        <v>343276</v>
      </c>
      <c r="G78" s="117">
        <f>(97400)</f>
        <v>97400</v>
      </c>
      <c r="H78" s="117">
        <f t="shared" si="1"/>
        <v>440676</v>
      </c>
      <c r="I78" s="84"/>
      <c r="J78" s="83"/>
      <c r="L78" s="81"/>
      <c r="M78" s="76"/>
    </row>
    <row r="79" spans="1:13" s="53" customFormat="1" ht="24.75" customHeight="1">
      <c r="A79" s="250"/>
      <c r="B79" s="261"/>
      <c r="C79" s="261"/>
      <c r="D79" s="269"/>
      <c r="E79" s="171" t="s">
        <v>358</v>
      </c>
      <c r="F79" s="130">
        <v>1000</v>
      </c>
      <c r="G79" s="117">
        <v>8000</v>
      </c>
      <c r="H79" s="117">
        <f t="shared" si="1"/>
        <v>9000</v>
      </c>
      <c r="I79" s="84"/>
      <c r="J79" s="83"/>
      <c r="L79" s="81"/>
      <c r="M79" s="76"/>
    </row>
    <row r="80" spans="1:13" s="53" customFormat="1" ht="63" customHeight="1">
      <c r="A80" s="251"/>
      <c r="B80" s="261"/>
      <c r="C80" s="261"/>
      <c r="D80" s="210"/>
      <c r="E80" s="171" t="s">
        <v>361</v>
      </c>
      <c r="F80" s="131"/>
      <c r="G80" s="131">
        <v>13000</v>
      </c>
      <c r="H80" s="131">
        <f t="shared" si="1"/>
        <v>13000</v>
      </c>
      <c r="I80" s="83"/>
      <c r="J80" s="83"/>
      <c r="M80" s="76"/>
    </row>
    <row r="81" spans="1:13" s="53" customFormat="1" ht="45" customHeight="1" hidden="1">
      <c r="A81" s="251"/>
      <c r="B81" s="261"/>
      <c r="C81" s="261"/>
      <c r="D81" s="210"/>
      <c r="E81" s="180" t="s">
        <v>135</v>
      </c>
      <c r="F81" s="131"/>
      <c r="G81" s="131"/>
      <c r="H81" s="131"/>
      <c r="I81" s="83"/>
      <c r="J81" s="83"/>
      <c r="M81" s="76"/>
    </row>
    <row r="82" spans="1:13" s="53" customFormat="1" ht="63.75" customHeight="1">
      <c r="A82" s="209"/>
      <c r="B82" s="263"/>
      <c r="C82" s="263"/>
      <c r="D82" s="211"/>
      <c r="E82" s="161" t="s">
        <v>132</v>
      </c>
      <c r="F82" s="117">
        <v>9826</v>
      </c>
      <c r="G82" s="131"/>
      <c r="H82" s="117">
        <f t="shared" si="1"/>
        <v>9826</v>
      </c>
      <c r="I82" s="84"/>
      <c r="J82" s="84"/>
      <c r="M82" s="76"/>
    </row>
    <row r="83" spans="1:13" s="53" customFormat="1" ht="47.25">
      <c r="A83" s="165"/>
      <c r="B83" s="165" t="s">
        <v>406</v>
      </c>
      <c r="C83" s="165" t="s">
        <v>166</v>
      </c>
      <c r="D83" s="172" t="s">
        <v>407</v>
      </c>
      <c r="E83" s="161" t="s">
        <v>143</v>
      </c>
      <c r="F83" s="130">
        <f>981666+67700</f>
        <v>1049366</v>
      </c>
      <c r="G83" s="117"/>
      <c r="H83" s="117">
        <f t="shared" si="1"/>
        <v>1049366</v>
      </c>
      <c r="I83" s="84"/>
      <c r="J83" s="84"/>
      <c r="M83" s="76"/>
    </row>
    <row r="84" spans="1:14" s="53" customFormat="1" ht="63">
      <c r="A84" s="237"/>
      <c r="B84" s="270">
        <v>130112</v>
      </c>
      <c r="C84" s="258" t="s">
        <v>166</v>
      </c>
      <c r="D84" s="266" t="s">
        <v>309</v>
      </c>
      <c r="E84" s="161" t="s">
        <v>132</v>
      </c>
      <c r="F84" s="130">
        <v>339</v>
      </c>
      <c r="G84" s="117"/>
      <c r="H84" s="117">
        <f t="shared" si="1"/>
        <v>339</v>
      </c>
      <c r="I84" s="84"/>
      <c r="J84" s="84"/>
      <c r="M84" s="94"/>
      <c r="N84" s="81"/>
    </row>
    <row r="85" spans="1:13" s="53" customFormat="1" ht="37.5" customHeight="1">
      <c r="A85" s="231"/>
      <c r="B85" s="271"/>
      <c r="C85" s="261"/>
      <c r="D85" s="269"/>
      <c r="E85" s="160" t="s">
        <v>125</v>
      </c>
      <c r="F85" s="129">
        <f>F86+F87</f>
        <v>527568</v>
      </c>
      <c r="G85" s="129">
        <f>G86+G87</f>
        <v>47760</v>
      </c>
      <c r="H85" s="117">
        <f t="shared" si="1"/>
        <v>575328</v>
      </c>
      <c r="I85" s="83"/>
      <c r="J85" s="83"/>
      <c r="M85" s="76"/>
    </row>
    <row r="86" spans="1:13" s="53" customFormat="1" ht="20.25" customHeight="1">
      <c r="A86" s="176"/>
      <c r="B86" s="271"/>
      <c r="C86" s="261"/>
      <c r="D86" s="172"/>
      <c r="E86" s="205" t="s">
        <v>360</v>
      </c>
      <c r="F86" s="129">
        <f>510432+17100</f>
        <v>527532</v>
      </c>
      <c r="G86" s="148">
        <v>47760</v>
      </c>
      <c r="H86" s="117">
        <f t="shared" si="1"/>
        <v>575292</v>
      </c>
      <c r="I86" s="83"/>
      <c r="J86" s="83"/>
      <c r="M86" s="76"/>
    </row>
    <row r="87" spans="1:13" s="53" customFormat="1" ht="21.75" customHeight="1">
      <c r="A87" s="176"/>
      <c r="B87" s="271"/>
      <c r="C87" s="263"/>
      <c r="D87" s="172"/>
      <c r="E87" s="118" t="s">
        <v>358</v>
      </c>
      <c r="F87" s="129">
        <v>36</v>
      </c>
      <c r="G87" s="148"/>
      <c r="H87" s="117">
        <f t="shared" si="1"/>
        <v>36</v>
      </c>
      <c r="I87" s="83"/>
      <c r="J87" s="83"/>
      <c r="M87" s="76"/>
    </row>
    <row r="88" spans="1:13" s="53" customFormat="1" ht="34.5" customHeight="1">
      <c r="A88" s="258"/>
      <c r="B88" s="275" t="s">
        <v>301</v>
      </c>
      <c r="C88" s="258" t="s">
        <v>159</v>
      </c>
      <c r="D88" s="268" t="s">
        <v>302</v>
      </c>
      <c r="E88" s="161" t="s">
        <v>121</v>
      </c>
      <c r="F88" s="132"/>
      <c r="G88" s="148">
        <f>G89+G90</f>
        <v>25904573</v>
      </c>
      <c r="H88" s="117">
        <f t="shared" si="1"/>
        <v>25904573</v>
      </c>
      <c r="I88" s="83"/>
      <c r="J88" s="83"/>
      <c r="M88" s="76"/>
    </row>
    <row r="89" spans="1:13" s="53" customFormat="1" ht="34.5" customHeight="1">
      <c r="A89" s="261"/>
      <c r="B89" s="276"/>
      <c r="C89" s="261"/>
      <c r="D89" s="273"/>
      <c r="E89" s="205" t="s">
        <v>360</v>
      </c>
      <c r="F89" s="132"/>
      <c r="G89" s="148">
        <f>28170020-2685000</f>
        <v>25485020</v>
      </c>
      <c r="H89" s="117">
        <f t="shared" si="1"/>
        <v>25485020</v>
      </c>
      <c r="I89" s="83"/>
      <c r="J89" s="83"/>
      <c r="M89" s="76"/>
    </row>
    <row r="90" spans="1:13" s="53" customFormat="1" ht="34.5" customHeight="1">
      <c r="A90" s="261"/>
      <c r="B90" s="276"/>
      <c r="C90" s="261"/>
      <c r="D90" s="273"/>
      <c r="E90" s="118" t="s">
        <v>358</v>
      </c>
      <c r="F90" s="132"/>
      <c r="G90" s="148">
        <f>541722-122169</f>
        <v>419553</v>
      </c>
      <c r="H90" s="117">
        <f t="shared" si="1"/>
        <v>419553</v>
      </c>
      <c r="I90" s="83"/>
      <c r="J90" s="83"/>
      <c r="M90" s="76"/>
    </row>
    <row r="91" spans="1:13" s="53" customFormat="1" ht="34.5" customHeight="1">
      <c r="A91" s="261"/>
      <c r="B91" s="276"/>
      <c r="C91" s="261"/>
      <c r="D91" s="273"/>
      <c r="E91" s="161" t="s">
        <v>123</v>
      </c>
      <c r="F91" s="132"/>
      <c r="G91" s="148">
        <f>250000+347347-250000</f>
        <v>347347</v>
      </c>
      <c r="H91" s="117">
        <f t="shared" si="1"/>
        <v>347347</v>
      </c>
      <c r="I91" s="84"/>
      <c r="J91" s="84"/>
      <c r="M91" s="76"/>
    </row>
    <row r="92" spans="1:13" s="53" customFormat="1" ht="34.5" customHeight="1">
      <c r="A92" s="261"/>
      <c r="B92" s="276"/>
      <c r="C92" s="261"/>
      <c r="D92" s="273"/>
      <c r="E92" s="160" t="s">
        <v>125</v>
      </c>
      <c r="F92" s="132"/>
      <c r="G92" s="132">
        <f>G93+G94</f>
        <v>8241479</v>
      </c>
      <c r="H92" s="117">
        <f t="shared" si="1"/>
        <v>8241479</v>
      </c>
      <c r="I92" s="84"/>
      <c r="J92" s="84"/>
      <c r="M92" s="76"/>
    </row>
    <row r="93" spans="1:13" s="53" customFormat="1" ht="26.25" customHeight="1">
      <c r="A93" s="165"/>
      <c r="B93" s="276"/>
      <c r="C93" s="261"/>
      <c r="D93" s="273"/>
      <c r="E93" s="205" t="s">
        <v>360</v>
      </c>
      <c r="F93" s="132"/>
      <c r="G93" s="132">
        <f>9687132-1628085</f>
        <v>8059047</v>
      </c>
      <c r="H93" s="117">
        <f t="shared" si="1"/>
        <v>8059047</v>
      </c>
      <c r="I93" s="84"/>
      <c r="J93" s="84"/>
      <c r="M93" s="76"/>
    </row>
    <row r="94" spans="1:13" s="53" customFormat="1" ht="27" customHeight="1">
      <c r="A94" s="165"/>
      <c r="B94" s="276"/>
      <c r="C94" s="261"/>
      <c r="D94" s="273"/>
      <c r="E94" s="118" t="s">
        <v>358</v>
      </c>
      <c r="F94" s="132"/>
      <c r="G94" s="132">
        <v>182432</v>
      </c>
      <c r="H94" s="117">
        <f t="shared" si="1"/>
        <v>182432</v>
      </c>
      <c r="I94" s="84"/>
      <c r="J94" s="84"/>
      <c r="M94" s="76"/>
    </row>
    <row r="95" spans="1:13" s="53" customFormat="1" ht="33.75" customHeight="1">
      <c r="A95" s="166"/>
      <c r="B95" s="275" t="s">
        <v>198</v>
      </c>
      <c r="C95" s="278" t="s">
        <v>162</v>
      </c>
      <c r="D95" s="266" t="s">
        <v>200</v>
      </c>
      <c r="E95" s="160" t="s">
        <v>121</v>
      </c>
      <c r="F95" s="132"/>
      <c r="G95" s="132">
        <f>G96+G97</f>
        <v>2807169</v>
      </c>
      <c r="H95" s="117">
        <f>G95+F95</f>
        <v>2807169</v>
      </c>
      <c r="I95" s="84"/>
      <c r="J95" s="84"/>
      <c r="M95" s="76"/>
    </row>
    <row r="96" spans="1:13" s="53" customFormat="1" ht="27" customHeight="1">
      <c r="A96" s="165"/>
      <c r="B96" s="276"/>
      <c r="C96" s="252"/>
      <c r="D96" s="269"/>
      <c r="E96" s="205" t="s">
        <v>360</v>
      </c>
      <c r="F96" s="132"/>
      <c r="G96" s="132">
        <v>2685000</v>
      </c>
      <c r="H96" s="117">
        <f>G96+F96</f>
        <v>2685000</v>
      </c>
      <c r="I96" s="84"/>
      <c r="J96" s="84"/>
      <c r="M96" s="76"/>
    </row>
    <row r="97" spans="1:13" s="53" customFormat="1" ht="27" customHeight="1">
      <c r="A97" s="169"/>
      <c r="B97" s="277"/>
      <c r="C97" s="253"/>
      <c r="D97" s="267"/>
      <c r="E97" s="118" t="s">
        <v>358</v>
      </c>
      <c r="F97" s="132"/>
      <c r="G97" s="132">
        <v>122169</v>
      </c>
      <c r="H97" s="117">
        <f>G97+F97</f>
        <v>122169</v>
      </c>
      <c r="I97" s="84"/>
      <c r="J97" s="84"/>
      <c r="M97" s="76"/>
    </row>
    <row r="98" spans="1:13" s="53" customFormat="1" ht="53.25" customHeight="1">
      <c r="A98" s="169"/>
      <c r="B98" s="206" t="s">
        <v>199</v>
      </c>
      <c r="C98" s="169" t="s">
        <v>163</v>
      </c>
      <c r="D98" s="204" t="s">
        <v>201</v>
      </c>
      <c r="E98" s="161" t="s">
        <v>123</v>
      </c>
      <c r="F98" s="132"/>
      <c r="G98" s="132">
        <v>250000</v>
      </c>
      <c r="H98" s="117">
        <f>G98+F98</f>
        <v>250000</v>
      </c>
      <c r="I98" s="84"/>
      <c r="J98" s="84"/>
      <c r="M98" s="76"/>
    </row>
    <row r="99" spans="1:13" s="53" customFormat="1" ht="52.5" customHeight="1">
      <c r="A99" s="165"/>
      <c r="B99" s="276" t="s">
        <v>458</v>
      </c>
      <c r="C99" s="261" t="s">
        <v>167</v>
      </c>
      <c r="D99" s="269" t="s">
        <v>459</v>
      </c>
      <c r="E99" s="160" t="s">
        <v>126</v>
      </c>
      <c r="F99" s="132">
        <f>F100+F101</f>
        <v>326276</v>
      </c>
      <c r="G99" s="132"/>
      <c r="H99" s="117">
        <f t="shared" si="1"/>
        <v>326276</v>
      </c>
      <c r="I99" s="84"/>
      <c r="J99" s="84"/>
      <c r="M99" s="76"/>
    </row>
    <row r="100" spans="1:13" s="53" customFormat="1" ht="18" customHeight="1">
      <c r="A100" s="165"/>
      <c r="B100" s="276"/>
      <c r="C100" s="261"/>
      <c r="D100" s="269"/>
      <c r="E100" s="205" t="s">
        <v>360</v>
      </c>
      <c r="F100" s="132">
        <v>293851</v>
      </c>
      <c r="G100" s="148"/>
      <c r="H100" s="117">
        <f t="shared" si="1"/>
        <v>293851</v>
      </c>
      <c r="I100" s="84"/>
      <c r="J100" s="84"/>
      <c r="M100" s="76"/>
    </row>
    <row r="101" spans="1:13" s="53" customFormat="1" ht="18.75" customHeight="1">
      <c r="A101" s="169"/>
      <c r="B101" s="277"/>
      <c r="C101" s="263"/>
      <c r="D101" s="267"/>
      <c r="E101" s="118" t="s">
        <v>358</v>
      </c>
      <c r="F101" s="132">
        <v>32425</v>
      </c>
      <c r="G101" s="148"/>
      <c r="H101" s="117">
        <f t="shared" si="1"/>
        <v>32425</v>
      </c>
      <c r="I101" s="84"/>
      <c r="J101" s="84"/>
      <c r="M101" s="76"/>
    </row>
    <row r="102" spans="1:13" s="53" customFormat="1" ht="52.5" customHeight="1">
      <c r="A102" s="186"/>
      <c r="B102" s="186">
        <v>200700</v>
      </c>
      <c r="C102" s="166" t="s">
        <v>168</v>
      </c>
      <c r="D102" s="186" t="s">
        <v>375</v>
      </c>
      <c r="E102" s="161" t="s">
        <v>134</v>
      </c>
      <c r="F102" s="132">
        <f>24500</f>
        <v>24500</v>
      </c>
      <c r="G102" s="130">
        <f>6000</f>
        <v>6000</v>
      </c>
      <c r="H102" s="117">
        <f t="shared" si="1"/>
        <v>30500</v>
      </c>
      <c r="I102" s="83"/>
      <c r="J102" s="83"/>
      <c r="M102" s="76"/>
    </row>
    <row r="103" spans="1:13" s="53" customFormat="1" ht="52.5" customHeight="1">
      <c r="A103" s="186"/>
      <c r="B103" s="186">
        <v>240601</v>
      </c>
      <c r="C103" s="184" t="s">
        <v>169</v>
      </c>
      <c r="D103" s="186" t="s">
        <v>323</v>
      </c>
      <c r="E103" s="173" t="s">
        <v>134</v>
      </c>
      <c r="F103" s="132">
        <f>98000-98000</f>
        <v>0</v>
      </c>
      <c r="G103" s="130">
        <f>540000+98000</f>
        <v>638000</v>
      </c>
      <c r="H103" s="117">
        <f t="shared" si="1"/>
        <v>638000</v>
      </c>
      <c r="I103" s="83"/>
      <c r="J103" s="83"/>
      <c r="M103" s="76"/>
    </row>
    <row r="104" spans="1:13" s="53" customFormat="1" ht="47.25">
      <c r="A104" s="187"/>
      <c r="B104" s="187" t="s">
        <v>241</v>
      </c>
      <c r="C104" s="187" t="s">
        <v>170</v>
      </c>
      <c r="D104" s="161" t="s">
        <v>242</v>
      </c>
      <c r="E104" s="266" t="s">
        <v>221</v>
      </c>
      <c r="F104" s="133">
        <v>2988832</v>
      </c>
      <c r="G104" s="183">
        <f>84592+(553262)</f>
        <v>637854</v>
      </c>
      <c r="H104" s="117">
        <f t="shared" si="1"/>
        <v>3626686</v>
      </c>
      <c r="I104" s="84"/>
      <c r="J104" s="84"/>
      <c r="M104" s="76"/>
    </row>
    <row r="105" spans="1:14" s="53" customFormat="1" ht="63">
      <c r="A105" s="187"/>
      <c r="B105" s="187" t="s">
        <v>558</v>
      </c>
      <c r="C105" s="187" t="s">
        <v>170</v>
      </c>
      <c r="D105" s="161" t="s">
        <v>559</v>
      </c>
      <c r="E105" s="267"/>
      <c r="F105" s="133">
        <v>100000</v>
      </c>
      <c r="G105" s="183"/>
      <c r="H105" s="117">
        <f t="shared" si="1"/>
        <v>100000</v>
      </c>
      <c r="I105" s="84"/>
      <c r="J105" s="84"/>
      <c r="M105" s="94"/>
      <c r="N105" s="81"/>
    </row>
    <row r="106" spans="1:13" s="53" customFormat="1" ht="46.5" customHeight="1">
      <c r="A106" s="178"/>
      <c r="B106" s="178" t="s">
        <v>393</v>
      </c>
      <c r="C106" s="178"/>
      <c r="D106" s="179" t="s">
        <v>267</v>
      </c>
      <c r="E106" s="161"/>
      <c r="F106" s="134">
        <f>F107+F108+F109+F112+F113+F114+F116+F117+F120+F121+F122+F123+F124+F125+F126+F127+F129+F132+F133+F135+F136+F137+F138+F139+F128+F134+F115</f>
        <v>63457097</v>
      </c>
      <c r="G106" s="134">
        <f>G107+G108+G109+G112+G113+G114+G116+G117+G120+G121+G122+G123+G124+G125+G126+G127+G129+G132+G133+G135+G136+G137+G138+G139+G128+G134+G115</f>
        <v>58664878</v>
      </c>
      <c r="H106" s="134">
        <f>F106+G106</f>
        <v>122121975</v>
      </c>
      <c r="I106" s="83"/>
      <c r="J106" s="83"/>
      <c r="M106" s="76"/>
    </row>
    <row r="107" spans="1:13" s="53" customFormat="1" ht="40.5" customHeight="1">
      <c r="A107" s="258"/>
      <c r="B107" s="258" t="s">
        <v>416</v>
      </c>
      <c r="C107" s="258" t="s">
        <v>157</v>
      </c>
      <c r="D107" s="266" t="s">
        <v>417</v>
      </c>
      <c r="E107" s="160" t="s">
        <v>130</v>
      </c>
      <c r="F107" s="134"/>
      <c r="G107" s="117">
        <v>78056</v>
      </c>
      <c r="H107" s="117">
        <f>G107+F107</f>
        <v>78056</v>
      </c>
      <c r="I107" s="83"/>
      <c r="J107" s="83"/>
      <c r="M107" s="76"/>
    </row>
    <row r="108" spans="1:13" s="53" customFormat="1" ht="68.25" customHeight="1">
      <c r="A108" s="263"/>
      <c r="B108" s="263"/>
      <c r="C108" s="263"/>
      <c r="D108" s="267"/>
      <c r="E108" s="161" t="s">
        <v>147</v>
      </c>
      <c r="F108" s="130">
        <v>1174</v>
      </c>
      <c r="G108" s="161"/>
      <c r="H108" s="117">
        <f aca="true" t="shared" si="2" ref="H108:H141">G108+F108</f>
        <v>1174</v>
      </c>
      <c r="I108" s="84"/>
      <c r="J108" s="83"/>
      <c r="M108" s="76"/>
    </row>
    <row r="109" spans="1:13" s="53" customFormat="1" ht="52.5" customHeight="1">
      <c r="A109" s="262"/>
      <c r="B109" s="265" t="s">
        <v>289</v>
      </c>
      <c r="C109" s="258" t="s">
        <v>171</v>
      </c>
      <c r="D109" s="264" t="s">
        <v>236</v>
      </c>
      <c r="E109" s="161" t="s">
        <v>119</v>
      </c>
      <c r="F109" s="130">
        <f>F110+F111</f>
        <v>20906802</v>
      </c>
      <c r="G109" s="130">
        <f>G110+G111</f>
        <v>32734789</v>
      </c>
      <c r="H109" s="117">
        <f t="shared" si="2"/>
        <v>53641591</v>
      </c>
      <c r="I109" s="83"/>
      <c r="J109" s="83"/>
      <c r="K109" s="81"/>
      <c r="L109" s="81"/>
      <c r="M109" s="76"/>
    </row>
    <row r="110" spans="1:13" s="53" customFormat="1" ht="27.75" customHeight="1">
      <c r="A110" s="262"/>
      <c r="B110" s="265"/>
      <c r="C110" s="261"/>
      <c r="D110" s="264"/>
      <c r="E110" s="205" t="s">
        <v>360</v>
      </c>
      <c r="F110" s="130">
        <f>15572517+(1375485)+3458800+500000</f>
        <v>20906802</v>
      </c>
      <c r="G110" s="117">
        <f>13132441+391285+17727115</f>
        <v>31250841</v>
      </c>
      <c r="H110" s="117">
        <f t="shared" si="2"/>
        <v>52157643</v>
      </c>
      <c r="I110" s="83"/>
      <c r="J110" s="83"/>
      <c r="K110" s="81"/>
      <c r="L110" s="81"/>
      <c r="M110" s="76"/>
    </row>
    <row r="111" spans="1:13" s="53" customFormat="1" ht="18.75" customHeight="1">
      <c r="A111" s="262"/>
      <c r="B111" s="265"/>
      <c r="C111" s="261"/>
      <c r="D111" s="264"/>
      <c r="E111" s="171" t="s">
        <v>358</v>
      </c>
      <c r="F111" s="130"/>
      <c r="G111" s="117">
        <f>1483947+1</f>
        <v>1483948</v>
      </c>
      <c r="H111" s="117">
        <f t="shared" si="2"/>
        <v>1483948</v>
      </c>
      <c r="I111" s="83"/>
      <c r="J111" s="83"/>
      <c r="K111" s="81"/>
      <c r="L111" s="81"/>
      <c r="M111" s="76"/>
    </row>
    <row r="112" spans="1:13" s="53" customFormat="1" ht="52.5" customHeight="1">
      <c r="A112" s="262"/>
      <c r="B112" s="265"/>
      <c r="C112" s="261"/>
      <c r="D112" s="264"/>
      <c r="E112" s="161" t="s">
        <v>127</v>
      </c>
      <c r="F112" s="130">
        <v>1000000</v>
      </c>
      <c r="G112" s="117"/>
      <c r="H112" s="117">
        <f t="shared" si="2"/>
        <v>1000000</v>
      </c>
      <c r="I112" s="84"/>
      <c r="J112" s="84"/>
      <c r="M112" s="76"/>
    </row>
    <row r="113" spans="1:13" s="53" customFormat="1" ht="72" customHeight="1">
      <c r="A113" s="262"/>
      <c r="B113" s="265"/>
      <c r="C113" s="261"/>
      <c r="D113" s="264"/>
      <c r="E113" s="171" t="s">
        <v>361</v>
      </c>
      <c r="F113" s="135">
        <v>23480</v>
      </c>
      <c r="G113" s="135">
        <v>238898</v>
      </c>
      <c r="H113" s="135">
        <f t="shared" si="2"/>
        <v>262378</v>
      </c>
      <c r="I113" s="84"/>
      <c r="J113" s="84"/>
      <c r="M113" s="76"/>
    </row>
    <row r="114" spans="1:15" s="53" customFormat="1" ht="48" customHeight="1">
      <c r="A114" s="262"/>
      <c r="B114" s="265"/>
      <c r="C114" s="261"/>
      <c r="D114" s="264"/>
      <c r="E114" s="180" t="s">
        <v>135</v>
      </c>
      <c r="F114" s="136">
        <f>600000-100000</f>
        <v>500000</v>
      </c>
      <c r="G114" s="181">
        <f>605000+100000+110000</f>
        <v>815000</v>
      </c>
      <c r="H114" s="117">
        <f t="shared" si="2"/>
        <v>1315000</v>
      </c>
      <c r="I114" s="102"/>
      <c r="J114" s="102"/>
      <c r="K114" s="82"/>
      <c r="L114" s="82"/>
      <c r="M114" s="95"/>
      <c r="N114" s="82"/>
      <c r="O114" s="82"/>
    </row>
    <row r="115" spans="1:15" s="53" customFormat="1" ht="31.5" customHeight="1">
      <c r="A115" s="258"/>
      <c r="B115" s="278"/>
      <c r="C115" s="261"/>
      <c r="D115" s="268"/>
      <c r="E115" s="161" t="s">
        <v>374</v>
      </c>
      <c r="F115" s="130">
        <v>909945</v>
      </c>
      <c r="G115" s="181"/>
      <c r="H115" s="117">
        <f t="shared" si="2"/>
        <v>909945</v>
      </c>
      <c r="I115" s="102"/>
      <c r="J115" s="102"/>
      <c r="K115" s="82"/>
      <c r="L115" s="82"/>
      <c r="M115" s="95"/>
      <c r="N115" s="82"/>
      <c r="O115" s="82"/>
    </row>
    <row r="116" spans="1:13" s="53" customFormat="1" ht="63">
      <c r="A116" s="258"/>
      <c r="B116" s="278"/>
      <c r="C116" s="263"/>
      <c r="D116" s="268"/>
      <c r="E116" s="161" t="s">
        <v>132</v>
      </c>
      <c r="F116" s="130">
        <v>15000</v>
      </c>
      <c r="G116" s="131"/>
      <c r="H116" s="117">
        <f t="shared" si="2"/>
        <v>15000</v>
      </c>
      <c r="I116" s="84"/>
      <c r="J116" s="84"/>
      <c r="M116" s="76"/>
    </row>
    <row r="117" spans="1:13" s="53" customFormat="1" ht="50.25" customHeight="1">
      <c r="A117" s="258"/>
      <c r="B117" s="258" t="s">
        <v>328</v>
      </c>
      <c r="C117" s="258" t="s">
        <v>172</v>
      </c>
      <c r="D117" s="266" t="s">
        <v>483</v>
      </c>
      <c r="E117" s="160" t="s">
        <v>119</v>
      </c>
      <c r="F117" s="130">
        <f>F118+F119</f>
        <v>1626004</v>
      </c>
      <c r="G117" s="130">
        <f>G118+G119</f>
        <v>2422249</v>
      </c>
      <c r="H117" s="117">
        <f t="shared" si="2"/>
        <v>4048253</v>
      </c>
      <c r="I117" s="83"/>
      <c r="J117" s="83"/>
      <c r="L117" s="81"/>
      <c r="M117" s="76"/>
    </row>
    <row r="118" spans="1:13" s="53" customFormat="1" ht="29.25" customHeight="1">
      <c r="A118" s="261"/>
      <c r="B118" s="261"/>
      <c r="C118" s="261"/>
      <c r="D118" s="269"/>
      <c r="E118" s="205" t="s">
        <v>360</v>
      </c>
      <c r="F118" s="130">
        <v>1626004</v>
      </c>
      <c r="G118" s="117">
        <f>542003+(1653658)+212265+1779</f>
        <v>2409705</v>
      </c>
      <c r="H118" s="117">
        <f t="shared" si="2"/>
        <v>4035709</v>
      </c>
      <c r="I118" s="83"/>
      <c r="J118" s="83"/>
      <c r="L118" s="81"/>
      <c r="M118" s="76"/>
    </row>
    <row r="119" spans="1:13" s="53" customFormat="1" ht="28.5" customHeight="1">
      <c r="A119" s="261"/>
      <c r="B119" s="261"/>
      <c r="C119" s="261"/>
      <c r="D119" s="269"/>
      <c r="E119" s="171" t="s">
        <v>358</v>
      </c>
      <c r="F119" s="130"/>
      <c r="G119" s="117">
        <f>13149-605</f>
        <v>12544</v>
      </c>
      <c r="H119" s="117">
        <f t="shared" si="2"/>
        <v>12544</v>
      </c>
      <c r="I119" s="83"/>
      <c r="J119" s="83"/>
      <c r="L119" s="81"/>
      <c r="M119" s="76"/>
    </row>
    <row r="120" spans="1:13" s="53" customFormat="1" ht="50.25" customHeight="1">
      <c r="A120" s="261"/>
      <c r="B120" s="261"/>
      <c r="C120" s="261"/>
      <c r="D120" s="269"/>
      <c r="E120" s="180" t="s">
        <v>135</v>
      </c>
      <c r="F120" s="137">
        <f>100000</f>
        <v>100000</v>
      </c>
      <c r="G120" s="181">
        <f>200000+59000-50000</f>
        <v>209000</v>
      </c>
      <c r="H120" s="117">
        <f t="shared" si="2"/>
        <v>309000</v>
      </c>
      <c r="I120" s="83"/>
      <c r="J120" s="83"/>
      <c r="L120" s="81"/>
      <c r="M120" s="76"/>
    </row>
    <row r="121" spans="1:13" s="53" customFormat="1" ht="64.5" customHeight="1" hidden="1">
      <c r="A121" s="263"/>
      <c r="B121" s="263"/>
      <c r="C121" s="263"/>
      <c r="D121" s="267"/>
      <c r="E121" s="171" t="s">
        <v>361</v>
      </c>
      <c r="F121" s="131"/>
      <c r="G121" s="131">
        <f>4000-4000</f>
        <v>0</v>
      </c>
      <c r="H121" s="131">
        <f t="shared" si="2"/>
        <v>0</v>
      </c>
      <c r="I121" s="84"/>
      <c r="J121" s="84"/>
      <c r="M121" s="76"/>
    </row>
    <row r="122" spans="1:13" s="53" customFormat="1" ht="52.5" customHeight="1">
      <c r="A122" s="258"/>
      <c r="B122" s="258" t="s">
        <v>290</v>
      </c>
      <c r="C122" s="258" t="s">
        <v>173</v>
      </c>
      <c r="D122" s="266" t="s">
        <v>116</v>
      </c>
      <c r="E122" s="160" t="s">
        <v>119</v>
      </c>
      <c r="F122" s="130">
        <f>105539+(270935)</f>
        <v>376474</v>
      </c>
      <c r="G122" s="117"/>
      <c r="H122" s="117">
        <f t="shared" si="2"/>
        <v>376474</v>
      </c>
      <c r="I122" s="83"/>
      <c r="J122" s="83"/>
      <c r="M122" s="76"/>
    </row>
    <row r="123" spans="1:13" s="53" customFormat="1" ht="70.5" customHeight="1">
      <c r="A123" s="261"/>
      <c r="B123" s="261"/>
      <c r="C123" s="261"/>
      <c r="D123" s="269"/>
      <c r="E123" s="171" t="s">
        <v>361</v>
      </c>
      <c r="F123" s="131"/>
      <c r="G123" s="131">
        <v>4400</v>
      </c>
      <c r="H123" s="131">
        <f>G123+F123</f>
        <v>4400</v>
      </c>
      <c r="I123" s="84"/>
      <c r="J123" s="84"/>
      <c r="M123" s="76"/>
    </row>
    <row r="124" spans="1:13" s="53" customFormat="1" ht="54" customHeight="1" hidden="1">
      <c r="A124" s="263"/>
      <c r="B124" s="263"/>
      <c r="C124" s="263"/>
      <c r="D124" s="267"/>
      <c r="E124" s="180" t="s">
        <v>135</v>
      </c>
      <c r="F124" s="138"/>
      <c r="G124" s="138"/>
      <c r="H124" s="117">
        <f t="shared" si="2"/>
        <v>0</v>
      </c>
      <c r="I124" s="84"/>
      <c r="J124" s="84"/>
      <c r="M124" s="76"/>
    </row>
    <row r="125" spans="1:13" s="53" customFormat="1" ht="50.25" customHeight="1">
      <c r="A125" s="258"/>
      <c r="B125" s="258" t="s">
        <v>291</v>
      </c>
      <c r="C125" s="258" t="s">
        <v>174</v>
      </c>
      <c r="D125" s="266" t="s">
        <v>117</v>
      </c>
      <c r="E125" s="161" t="s">
        <v>119</v>
      </c>
      <c r="F125" s="130">
        <f>2764114+(70505)-1</f>
        <v>2834618</v>
      </c>
      <c r="G125" s="130">
        <f>325895+66110</f>
        <v>392005</v>
      </c>
      <c r="H125" s="117">
        <f t="shared" si="2"/>
        <v>3226623</v>
      </c>
      <c r="I125" s="83"/>
      <c r="J125" s="83"/>
      <c r="L125" s="81"/>
      <c r="M125" s="76"/>
    </row>
    <row r="126" spans="1:13" s="53" customFormat="1" ht="63">
      <c r="A126" s="261"/>
      <c r="B126" s="261"/>
      <c r="C126" s="261"/>
      <c r="D126" s="269"/>
      <c r="E126" s="171" t="s">
        <v>361</v>
      </c>
      <c r="F126" s="131"/>
      <c r="G126" s="131">
        <v>23400</v>
      </c>
      <c r="H126" s="131">
        <f t="shared" si="2"/>
        <v>23400</v>
      </c>
      <c r="I126" s="84"/>
      <c r="J126" s="84"/>
      <c r="M126" s="76"/>
    </row>
    <row r="127" spans="1:13" s="53" customFormat="1" ht="47.25" customHeight="1">
      <c r="A127" s="260"/>
      <c r="B127" s="260"/>
      <c r="C127" s="263"/>
      <c r="D127" s="260"/>
      <c r="E127" s="180" t="s">
        <v>135</v>
      </c>
      <c r="F127" s="130"/>
      <c r="G127" s="181">
        <f>45000+10000</f>
        <v>55000</v>
      </c>
      <c r="H127" s="117">
        <f t="shared" si="2"/>
        <v>55000</v>
      </c>
      <c r="I127" s="84"/>
      <c r="J127" s="84"/>
      <c r="M127" s="76"/>
    </row>
    <row r="128" spans="1:13" s="53" customFormat="1" ht="75.75" customHeight="1" hidden="1">
      <c r="A128" s="188"/>
      <c r="B128" s="187">
        <v>80704</v>
      </c>
      <c r="C128" s="189"/>
      <c r="D128" s="166" t="s">
        <v>369</v>
      </c>
      <c r="E128" s="161" t="s">
        <v>370</v>
      </c>
      <c r="F128" s="130"/>
      <c r="G128" s="130"/>
      <c r="H128" s="117">
        <f t="shared" si="2"/>
        <v>0</v>
      </c>
      <c r="I128" s="84"/>
      <c r="J128" s="84"/>
      <c r="M128" s="76"/>
    </row>
    <row r="129" spans="1:13" s="53" customFormat="1" ht="50.25" customHeight="1">
      <c r="A129" s="258"/>
      <c r="B129" s="258" t="s">
        <v>541</v>
      </c>
      <c r="C129" s="258" t="s">
        <v>175</v>
      </c>
      <c r="D129" s="266" t="s">
        <v>542</v>
      </c>
      <c r="E129" s="160" t="s">
        <v>119</v>
      </c>
      <c r="F129" s="130">
        <f>F130+F131</f>
        <v>8062988</v>
      </c>
      <c r="G129" s="130">
        <f>G130+G131</f>
        <v>3418179</v>
      </c>
      <c r="H129" s="117">
        <f t="shared" si="2"/>
        <v>11481167</v>
      </c>
      <c r="I129" s="83"/>
      <c r="J129" s="83"/>
      <c r="K129" s="81"/>
      <c r="L129" s="81"/>
      <c r="M129" s="76"/>
    </row>
    <row r="130" spans="1:13" s="53" customFormat="1" ht="25.5" customHeight="1">
      <c r="A130" s="261"/>
      <c r="B130" s="261"/>
      <c r="C130" s="261"/>
      <c r="D130" s="269"/>
      <c r="E130" s="205" t="s">
        <v>360</v>
      </c>
      <c r="F130" s="130">
        <f>5016988+(2941543)+113125-8669+1</f>
        <v>8062988</v>
      </c>
      <c r="G130" s="117">
        <f>894732+(2149900)-4036</f>
        <v>3040596</v>
      </c>
      <c r="H130" s="117">
        <f t="shared" si="2"/>
        <v>11103584</v>
      </c>
      <c r="I130" s="83"/>
      <c r="J130" s="83"/>
      <c r="K130" s="81"/>
      <c r="L130" s="81"/>
      <c r="M130" s="76"/>
    </row>
    <row r="131" spans="1:13" s="53" customFormat="1" ht="18.75" customHeight="1">
      <c r="A131" s="261"/>
      <c r="B131" s="261"/>
      <c r="C131" s="261"/>
      <c r="D131" s="269"/>
      <c r="E131" s="118" t="s">
        <v>358</v>
      </c>
      <c r="F131" s="130"/>
      <c r="G131" s="117">
        <v>377583</v>
      </c>
      <c r="H131" s="117">
        <f t="shared" si="2"/>
        <v>377583</v>
      </c>
      <c r="I131" s="83"/>
      <c r="J131" s="83"/>
      <c r="K131" s="81"/>
      <c r="L131" s="81"/>
      <c r="M131" s="76"/>
    </row>
    <row r="132" spans="1:13" s="53" customFormat="1" ht="72" customHeight="1">
      <c r="A132" s="261"/>
      <c r="B132" s="261"/>
      <c r="C132" s="261"/>
      <c r="D132" s="269"/>
      <c r="E132" s="118" t="s">
        <v>361</v>
      </c>
      <c r="F132" s="131"/>
      <c r="G132" s="131">
        <v>40893</v>
      </c>
      <c r="H132" s="131">
        <f>G132+F132</f>
        <v>40893</v>
      </c>
      <c r="I132" s="83"/>
      <c r="J132" s="83"/>
      <c r="K132" s="81"/>
      <c r="L132" s="81"/>
      <c r="M132" s="76"/>
    </row>
    <row r="133" spans="1:13" s="53" customFormat="1" ht="57" customHeight="1">
      <c r="A133" s="261"/>
      <c r="B133" s="261"/>
      <c r="C133" s="261"/>
      <c r="D133" s="269"/>
      <c r="E133" s="180" t="s">
        <v>135</v>
      </c>
      <c r="F133" s="137">
        <f>200000</f>
        <v>200000</v>
      </c>
      <c r="G133" s="181">
        <f>300000-60000</f>
        <v>240000</v>
      </c>
      <c r="H133" s="117">
        <f t="shared" si="2"/>
        <v>440000</v>
      </c>
      <c r="I133" s="83"/>
      <c r="J133" s="83"/>
      <c r="M133" s="76"/>
    </row>
    <row r="134" spans="1:13" s="53" customFormat="1" ht="63.75" customHeight="1">
      <c r="A134" s="169"/>
      <c r="B134" s="263"/>
      <c r="C134" s="263"/>
      <c r="D134" s="267"/>
      <c r="E134" s="161" t="s">
        <v>132</v>
      </c>
      <c r="F134" s="130">
        <v>4581</v>
      </c>
      <c r="G134" s="181"/>
      <c r="H134" s="117">
        <f t="shared" si="2"/>
        <v>4581</v>
      </c>
      <c r="I134" s="83"/>
      <c r="J134" s="83"/>
      <c r="M134" s="76"/>
    </row>
    <row r="135" spans="1:13" s="53" customFormat="1" ht="47.25">
      <c r="A135" s="185"/>
      <c r="B135" s="258" t="s">
        <v>329</v>
      </c>
      <c r="C135" s="184" t="s">
        <v>176</v>
      </c>
      <c r="D135" s="266" t="s">
        <v>330</v>
      </c>
      <c r="E135" s="160" t="s">
        <v>222</v>
      </c>
      <c r="F135" s="130">
        <v>23337863</v>
      </c>
      <c r="G135" s="117"/>
      <c r="H135" s="117">
        <f t="shared" si="2"/>
        <v>23337863</v>
      </c>
      <c r="I135" s="83"/>
      <c r="J135" s="83"/>
      <c r="M135" s="76"/>
    </row>
    <row r="136" spans="1:13" s="53" customFormat="1" ht="63" customHeight="1" hidden="1">
      <c r="A136" s="190"/>
      <c r="B136" s="263"/>
      <c r="C136" s="169"/>
      <c r="D136" s="267"/>
      <c r="E136" s="160" t="s">
        <v>372</v>
      </c>
      <c r="F136" s="132"/>
      <c r="G136" s="132"/>
      <c r="H136" s="117">
        <f t="shared" si="2"/>
        <v>0</v>
      </c>
      <c r="I136" s="84"/>
      <c r="J136" s="84"/>
      <c r="M136" s="76"/>
    </row>
    <row r="137" spans="1:13" s="53" customFormat="1" ht="63.75" customHeight="1" hidden="1">
      <c r="A137" s="184"/>
      <c r="B137" s="184" t="s">
        <v>78</v>
      </c>
      <c r="C137" s="184"/>
      <c r="D137" s="161" t="s">
        <v>79</v>
      </c>
      <c r="E137" s="160" t="s">
        <v>372</v>
      </c>
      <c r="F137" s="130"/>
      <c r="G137" s="130"/>
      <c r="H137" s="117">
        <f t="shared" si="2"/>
        <v>0</v>
      </c>
      <c r="I137" s="84"/>
      <c r="J137" s="83"/>
      <c r="M137" s="76"/>
    </row>
    <row r="138" spans="1:13" s="53" customFormat="1" ht="46.5" customHeight="1">
      <c r="A138" s="166"/>
      <c r="B138" s="166" t="s">
        <v>293</v>
      </c>
      <c r="C138" s="166" t="s">
        <v>176</v>
      </c>
      <c r="D138" s="173" t="s">
        <v>484</v>
      </c>
      <c r="E138" s="161" t="s">
        <v>223</v>
      </c>
      <c r="F138" s="130">
        <v>3558168</v>
      </c>
      <c r="G138" s="143"/>
      <c r="H138" s="117">
        <f t="shared" si="2"/>
        <v>3558168</v>
      </c>
      <c r="I138" s="84"/>
      <c r="J138" s="84"/>
      <c r="M138" s="76"/>
    </row>
    <row r="139" spans="1:13" s="53" customFormat="1" ht="47.25">
      <c r="A139" s="166"/>
      <c r="B139" s="275" t="s">
        <v>301</v>
      </c>
      <c r="C139" s="258" t="s">
        <v>159</v>
      </c>
      <c r="D139" s="268" t="s">
        <v>302</v>
      </c>
      <c r="E139" s="160" t="s">
        <v>119</v>
      </c>
      <c r="F139" s="117"/>
      <c r="G139" s="117">
        <f>G140+G141</f>
        <v>17993009</v>
      </c>
      <c r="H139" s="117">
        <f t="shared" si="2"/>
        <v>17993009</v>
      </c>
      <c r="I139" s="83"/>
      <c r="J139" s="83"/>
      <c r="M139" s="76"/>
    </row>
    <row r="140" spans="1:13" s="53" customFormat="1" ht="15.75">
      <c r="A140" s="165"/>
      <c r="B140" s="276"/>
      <c r="C140" s="261"/>
      <c r="D140" s="273"/>
      <c r="E140" s="205" t="s">
        <v>360</v>
      </c>
      <c r="F140" s="132"/>
      <c r="G140" s="117">
        <f>17714560+(9837760)-9837760</f>
        <v>17714560</v>
      </c>
      <c r="H140" s="117">
        <f t="shared" si="2"/>
        <v>17714560</v>
      </c>
      <c r="I140" s="83"/>
      <c r="J140" s="83"/>
      <c r="M140" s="76"/>
    </row>
    <row r="141" spans="1:13" s="53" customFormat="1" ht="15.75">
      <c r="A141" s="169"/>
      <c r="B141" s="277"/>
      <c r="C141" s="263"/>
      <c r="D141" s="254"/>
      <c r="E141" s="118" t="s">
        <v>358</v>
      </c>
      <c r="F141" s="132"/>
      <c r="G141" s="117">
        <v>278449</v>
      </c>
      <c r="H141" s="117">
        <f t="shared" si="2"/>
        <v>278449</v>
      </c>
      <c r="I141" s="83"/>
      <c r="J141" s="83"/>
      <c r="M141" s="76"/>
    </row>
    <row r="142" spans="1:13" s="53" customFormat="1" ht="49.5" customHeight="1">
      <c r="A142" s="191"/>
      <c r="B142" s="192" t="s">
        <v>394</v>
      </c>
      <c r="C142" s="192"/>
      <c r="D142" s="193" t="s">
        <v>268</v>
      </c>
      <c r="E142" s="161"/>
      <c r="F142" s="139">
        <f>F143+F146+F147+F148+F151+F154+F155+F156+F157+F158+F159+F160+F163+F164+F167+F168+F169+F171</f>
        <v>22559537</v>
      </c>
      <c r="G142" s="139">
        <f>G143+G146+G147+G148+G151+G154+G155+G156+G157+G158+G159+G160+G163+G164+G167+G168+G169+G171</f>
        <v>6195653</v>
      </c>
      <c r="H142" s="139">
        <f>G142+F142</f>
        <v>28755190</v>
      </c>
      <c r="I142" s="83"/>
      <c r="J142" s="83"/>
      <c r="M142" s="76"/>
    </row>
    <row r="143" spans="1:13" s="53" customFormat="1" ht="40.5" customHeight="1">
      <c r="A143" s="265"/>
      <c r="B143" s="278" t="s">
        <v>416</v>
      </c>
      <c r="C143" s="258" t="s">
        <v>157</v>
      </c>
      <c r="D143" s="264" t="s">
        <v>417</v>
      </c>
      <c r="E143" s="160" t="s">
        <v>130</v>
      </c>
      <c r="F143" s="117"/>
      <c r="G143" s="117">
        <f>G144+G145</f>
        <v>1261522</v>
      </c>
      <c r="H143" s="117">
        <f aca="true" t="shared" si="3" ref="H143:H171">F143+G143</f>
        <v>1261522</v>
      </c>
      <c r="I143" s="84"/>
      <c r="J143" s="83"/>
      <c r="M143" s="76"/>
    </row>
    <row r="144" spans="1:13" s="53" customFormat="1" ht="23.25" customHeight="1">
      <c r="A144" s="265"/>
      <c r="B144" s="252"/>
      <c r="C144" s="261"/>
      <c r="D144" s="264"/>
      <c r="E144" s="205" t="s">
        <v>360</v>
      </c>
      <c r="F144" s="117"/>
      <c r="G144" s="117">
        <v>1258317</v>
      </c>
      <c r="H144" s="117">
        <f t="shared" si="3"/>
        <v>1258317</v>
      </c>
      <c r="I144" s="84"/>
      <c r="J144" s="83"/>
      <c r="M144" s="76"/>
    </row>
    <row r="145" spans="1:13" s="53" customFormat="1" ht="20.25" customHeight="1">
      <c r="A145" s="265"/>
      <c r="B145" s="252"/>
      <c r="C145" s="261"/>
      <c r="D145" s="264"/>
      <c r="E145" s="118" t="s">
        <v>358</v>
      </c>
      <c r="F145" s="117"/>
      <c r="G145" s="117">
        <v>3205</v>
      </c>
      <c r="H145" s="117">
        <f t="shared" si="3"/>
        <v>3205</v>
      </c>
      <c r="I145" s="84"/>
      <c r="J145" s="83"/>
      <c r="M145" s="76"/>
    </row>
    <row r="146" spans="1:13" s="53" customFormat="1" ht="63.75" customHeight="1">
      <c r="A146" s="265"/>
      <c r="B146" s="253"/>
      <c r="C146" s="263"/>
      <c r="D146" s="264"/>
      <c r="E146" s="161" t="s">
        <v>132</v>
      </c>
      <c r="F146" s="117">
        <v>478</v>
      </c>
      <c r="G146" s="143"/>
      <c r="H146" s="117">
        <f t="shared" si="3"/>
        <v>478</v>
      </c>
      <c r="I146" s="84"/>
      <c r="J146" s="84"/>
      <c r="M146" s="76"/>
    </row>
    <row r="147" spans="1:13" s="53" customFormat="1" ht="62.25" customHeight="1">
      <c r="A147" s="184"/>
      <c r="B147" s="184" t="s">
        <v>296</v>
      </c>
      <c r="C147" s="184" t="s">
        <v>165</v>
      </c>
      <c r="D147" s="161" t="s">
        <v>522</v>
      </c>
      <c r="E147" s="161" t="s">
        <v>132</v>
      </c>
      <c r="F147" s="117">
        <v>1368</v>
      </c>
      <c r="G147" s="117"/>
      <c r="H147" s="117">
        <f t="shared" si="3"/>
        <v>1368</v>
      </c>
      <c r="I147" s="84"/>
      <c r="J147" s="84"/>
      <c r="M147" s="76"/>
    </row>
    <row r="148" spans="1:13" s="53" customFormat="1" ht="47.25">
      <c r="A148" s="167"/>
      <c r="B148" s="278" t="s">
        <v>297</v>
      </c>
      <c r="C148" s="258" t="s">
        <v>165</v>
      </c>
      <c r="D148" s="266" t="s">
        <v>489</v>
      </c>
      <c r="E148" s="160" t="s">
        <v>141</v>
      </c>
      <c r="F148" s="130">
        <f>F149+F150</f>
        <v>140450</v>
      </c>
      <c r="G148" s="130"/>
      <c r="H148" s="117">
        <f t="shared" si="3"/>
        <v>140450</v>
      </c>
      <c r="I148" s="84"/>
      <c r="J148" s="84"/>
      <c r="M148" s="76"/>
    </row>
    <row r="149" spans="1:13" s="53" customFormat="1" ht="15.75">
      <c r="A149" s="168"/>
      <c r="B149" s="252"/>
      <c r="C149" s="261"/>
      <c r="D149" s="269"/>
      <c r="E149" s="205" t="s">
        <v>360</v>
      </c>
      <c r="F149" s="130">
        <v>140250</v>
      </c>
      <c r="G149" s="143"/>
      <c r="H149" s="117">
        <f t="shared" si="3"/>
        <v>140250</v>
      </c>
      <c r="I149" s="84"/>
      <c r="J149" s="84"/>
      <c r="M149" s="76"/>
    </row>
    <row r="150" spans="1:13" s="53" customFormat="1" ht="15.75">
      <c r="A150" s="170"/>
      <c r="B150" s="253"/>
      <c r="C150" s="263"/>
      <c r="D150" s="267"/>
      <c r="E150" s="118" t="s">
        <v>358</v>
      </c>
      <c r="F150" s="130">
        <v>200</v>
      </c>
      <c r="G150" s="143"/>
      <c r="H150" s="117">
        <f t="shared" si="3"/>
        <v>200</v>
      </c>
      <c r="I150" s="84"/>
      <c r="J150" s="84"/>
      <c r="M150" s="76"/>
    </row>
    <row r="151" spans="1:13" s="53" customFormat="1" ht="47.25" customHeight="1">
      <c r="A151" s="262"/>
      <c r="B151" s="265" t="s">
        <v>414</v>
      </c>
      <c r="C151" s="258" t="s">
        <v>177</v>
      </c>
      <c r="D151" s="264" t="s">
        <v>415</v>
      </c>
      <c r="E151" s="160" t="s">
        <v>141</v>
      </c>
      <c r="F151" s="130">
        <f>F152+F153</f>
        <v>4969803</v>
      </c>
      <c r="G151" s="130">
        <f>G152+G153</f>
        <v>1024808</v>
      </c>
      <c r="H151" s="117">
        <f t="shared" si="3"/>
        <v>5994611</v>
      </c>
      <c r="I151" s="84"/>
      <c r="J151" s="83"/>
      <c r="L151" s="81"/>
      <c r="M151" s="76"/>
    </row>
    <row r="152" spans="1:13" s="53" customFormat="1" ht="22.5" customHeight="1">
      <c r="A152" s="262"/>
      <c r="B152" s="265"/>
      <c r="C152" s="261"/>
      <c r="D152" s="264"/>
      <c r="E152" s="205" t="s">
        <v>360</v>
      </c>
      <c r="F152" s="130">
        <f>4904365+(26088)</f>
        <v>4930453</v>
      </c>
      <c r="G152" s="117">
        <f>500351+430729</f>
        <v>931080</v>
      </c>
      <c r="H152" s="117">
        <f>F152+G152</f>
        <v>5861533</v>
      </c>
      <c r="I152" s="84"/>
      <c r="J152" s="83"/>
      <c r="L152" s="81"/>
      <c r="M152" s="76"/>
    </row>
    <row r="153" spans="1:13" s="53" customFormat="1" ht="23.25" customHeight="1">
      <c r="A153" s="262"/>
      <c r="B153" s="265"/>
      <c r="C153" s="261"/>
      <c r="D153" s="264"/>
      <c r="E153" s="171" t="s">
        <v>358</v>
      </c>
      <c r="F153" s="130">
        <v>39350</v>
      </c>
      <c r="G153" s="117">
        <v>93728</v>
      </c>
      <c r="H153" s="117">
        <f>F153+G153</f>
        <v>133078</v>
      </c>
      <c r="I153" s="84"/>
      <c r="J153" s="83"/>
      <c r="L153" s="81"/>
      <c r="M153" s="76"/>
    </row>
    <row r="154" spans="1:13" s="53" customFormat="1" ht="50.25" customHeight="1" hidden="1">
      <c r="A154" s="262"/>
      <c r="B154" s="265"/>
      <c r="C154" s="261"/>
      <c r="D154" s="264"/>
      <c r="E154" s="161" t="s">
        <v>227</v>
      </c>
      <c r="F154" s="130"/>
      <c r="G154" s="117"/>
      <c r="H154" s="117">
        <f t="shared" si="3"/>
        <v>0</v>
      </c>
      <c r="I154" s="84"/>
      <c r="J154" s="84"/>
      <c r="M154" s="76"/>
    </row>
    <row r="155" spans="1:13" s="53" customFormat="1" ht="64.5" customHeight="1">
      <c r="A155" s="262"/>
      <c r="B155" s="265"/>
      <c r="C155" s="261"/>
      <c r="D155" s="264"/>
      <c r="E155" s="171" t="s">
        <v>363</v>
      </c>
      <c r="F155" s="141">
        <v>7336</v>
      </c>
      <c r="G155" s="141"/>
      <c r="H155" s="141">
        <f t="shared" si="3"/>
        <v>7336</v>
      </c>
      <c r="I155" s="84"/>
      <c r="J155" s="84"/>
      <c r="M155" s="76"/>
    </row>
    <row r="156" spans="1:13" s="53" customFormat="1" ht="51" customHeight="1">
      <c r="A156" s="262"/>
      <c r="B156" s="265"/>
      <c r="C156" s="261"/>
      <c r="D156" s="264"/>
      <c r="E156" s="180" t="s">
        <v>135</v>
      </c>
      <c r="F156" s="142">
        <f>70000+10000</f>
        <v>80000</v>
      </c>
      <c r="G156" s="146">
        <v>60000</v>
      </c>
      <c r="H156" s="149">
        <f t="shared" si="3"/>
        <v>140000</v>
      </c>
      <c r="I156" s="84"/>
      <c r="J156" s="84"/>
      <c r="M156" s="76"/>
    </row>
    <row r="157" spans="1:13" s="53" customFormat="1" ht="60.75" customHeight="1">
      <c r="A157" s="262"/>
      <c r="B157" s="265"/>
      <c r="C157" s="263"/>
      <c r="D157" s="264"/>
      <c r="E157" s="161" t="s">
        <v>132</v>
      </c>
      <c r="F157" s="143">
        <v>3994</v>
      </c>
      <c r="G157" s="141"/>
      <c r="H157" s="117">
        <f t="shared" si="3"/>
        <v>3994</v>
      </c>
      <c r="I157" s="84"/>
      <c r="J157" s="84"/>
      <c r="M157" s="76"/>
    </row>
    <row r="158" spans="1:14" s="53" customFormat="1" ht="49.5" customHeight="1">
      <c r="A158" s="258"/>
      <c r="B158" s="258" t="s">
        <v>240</v>
      </c>
      <c r="C158" s="258" t="s">
        <v>178</v>
      </c>
      <c r="D158" s="266" t="s">
        <v>234</v>
      </c>
      <c r="E158" s="160" t="s">
        <v>141</v>
      </c>
      <c r="F158" s="130">
        <f>1085000-46620</f>
        <v>1038380</v>
      </c>
      <c r="G158" s="143"/>
      <c r="H158" s="117">
        <f t="shared" si="3"/>
        <v>1038380</v>
      </c>
      <c r="I158" s="84"/>
      <c r="J158" s="84"/>
      <c r="M158" s="94"/>
      <c r="N158" s="81"/>
    </row>
    <row r="159" spans="1:13" s="53" customFormat="1" ht="49.5" customHeight="1">
      <c r="A159" s="260"/>
      <c r="B159" s="260"/>
      <c r="C159" s="263"/>
      <c r="D159" s="260"/>
      <c r="E159" s="180" t="s">
        <v>135</v>
      </c>
      <c r="F159" s="155">
        <f>100000</f>
        <v>100000</v>
      </c>
      <c r="G159" s="155">
        <f>40000</f>
        <v>40000</v>
      </c>
      <c r="H159" s="149">
        <f t="shared" si="3"/>
        <v>140000</v>
      </c>
      <c r="I159" s="84"/>
      <c r="J159" s="84"/>
      <c r="M159" s="76"/>
    </row>
    <row r="160" spans="1:14" s="53" customFormat="1" ht="48" customHeight="1">
      <c r="A160" s="262"/>
      <c r="B160" s="265" t="s">
        <v>303</v>
      </c>
      <c r="C160" s="258" t="s">
        <v>179</v>
      </c>
      <c r="D160" s="264" t="s">
        <v>310</v>
      </c>
      <c r="E160" s="160" t="s">
        <v>141</v>
      </c>
      <c r="F160" s="130">
        <f>F161+F162</f>
        <v>9862028</v>
      </c>
      <c r="G160" s="143"/>
      <c r="H160" s="117">
        <f t="shared" si="3"/>
        <v>9862028</v>
      </c>
      <c r="I160" s="84"/>
      <c r="J160" s="84"/>
      <c r="M160" s="94"/>
      <c r="N160" s="81"/>
    </row>
    <row r="161" spans="1:14" s="53" customFormat="1" ht="18" customHeight="1">
      <c r="A161" s="258"/>
      <c r="B161" s="278"/>
      <c r="C161" s="261"/>
      <c r="D161" s="268"/>
      <c r="E161" s="205" t="s">
        <v>360</v>
      </c>
      <c r="F161" s="130">
        <f>8745036+923608+46620</f>
        <v>9715264</v>
      </c>
      <c r="G161" s="143"/>
      <c r="H161" s="117">
        <f t="shared" si="3"/>
        <v>9715264</v>
      </c>
      <c r="I161" s="84"/>
      <c r="J161" s="84"/>
      <c r="M161" s="94"/>
      <c r="N161" s="81"/>
    </row>
    <row r="162" spans="1:14" s="53" customFormat="1" ht="19.5" customHeight="1">
      <c r="A162" s="258"/>
      <c r="B162" s="278"/>
      <c r="C162" s="261"/>
      <c r="D162" s="268"/>
      <c r="E162" s="118" t="s">
        <v>358</v>
      </c>
      <c r="F162" s="130">
        <v>146764</v>
      </c>
      <c r="G162" s="143"/>
      <c r="H162" s="117">
        <f t="shared" si="3"/>
        <v>146764</v>
      </c>
      <c r="I162" s="84"/>
      <c r="J162" s="84"/>
      <c r="M162" s="94"/>
      <c r="N162" s="81"/>
    </row>
    <row r="163" spans="1:13" s="53" customFormat="1" ht="31.5">
      <c r="A163" s="258"/>
      <c r="B163" s="278"/>
      <c r="C163" s="263"/>
      <c r="D163" s="268"/>
      <c r="E163" s="180" t="s">
        <v>135</v>
      </c>
      <c r="F163" s="137">
        <f>4500000-225300+20000-14000</f>
        <v>4280700</v>
      </c>
      <c r="G163" s="137"/>
      <c r="H163" s="137">
        <f t="shared" si="3"/>
        <v>4280700</v>
      </c>
      <c r="I163" s="84"/>
      <c r="J163" s="84"/>
      <c r="M163" s="76"/>
    </row>
    <row r="164" spans="1:13" s="53" customFormat="1" ht="47.25" customHeight="1">
      <c r="A164" s="166"/>
      <c r="B164" s="275" t="s">
        <v>301</v>
      </c>
      <c r="C164" s="258" t="s">
        <v>159</v>
      </c>
      <c r="D164" s="266" t="s">
        <v>302</v>
      </c>
      <c r="E164" s="160" t="s">
        <v>141</v>
      </c>
      <c r="F164" s="132"/>
      <c r="G164" s="148">
        <f>G165+G166</f>
        <v>3809323</v>
      </c>
      <c r="H164" s="117">
        <f t="shared" si="3"/>
        <v>3809323</v>
      </c>
      <c r="I164" s="84"/>
      <c r="J164" s="83"/>
      <c r="M164" s="76"/>
    </row>
    <row r="165" spans="1:13" s="53" customFormat="1" ht="25.5" customHeight="1">
      <c r="A165" s="165"/>
      <c r="B165" s="276"/>
      <c r="C165" s="261"/>
      <c r="D165" s="269"/>
      <c r="E165" s="205" t="s">
        <v>360</v>
      </c>
      <c r="F165" s="132"/>
      <c r="G165" s="148">
        <f>4237913-430729</f>
        <v>3807184</v>
      </c>
      <c r="H165" s="117">
        <f t="shared" si="3"/>
        <v>3807184</v>
      </c>
      <c r="I165" s="84"/>
      <c r="J165" s="83"/>
      <c r="M165" s="76"/>
    </row>
    <row r="166" spans="1:13" s="53" customFormat="1" ht="23.25" customHeight="1">
      <c r="A166" s="169"/>
      <c r="B166" s="277"/>
      <c r="C166" s="263"/>
      <c r="D166" s="267"/>
      <c r="E166" s="118" t="s">
        <v>358</v>
      </c>
      <c r="F166" s="132"/>
      <c r="G166" s="148">
        <v>2139</v>
      </c>
      <c r="H166" s="117">
        <f t="shared" si="3"/>
        <v>2139</v>
      </c>
      <c r="I166" s="84"/>
      <c r="J166" s="83"/>
      <c r="M166" s="76"/>
    </row>
    <row r="167" spans="1:14" s="53" customFormat="1" ht="47.25">
      <c r="A167" s="169"/>
      <c r="B167" s="169" t="s">
        <v>250</v>
      </c>
      <c r="C167" s="169" t="s">
        <v>180</v>
      </c>
      <c r="D167" s="186" t="s">
        <v>486</v>
      </c>
      <c r="E167" s="160" t="s">
        <v>141</v>
      </c>
      <c r="F167" s="130">
        <v>315000</v>
      </c>
      <c r="G167" s="183"/>
      <c r="H167" s="117">
        <f t="shared" si="3"/>
        <v>315000</v>
      </c>
      <c r="I167" s="84"/>
      <c r="J167" s="84"/>
      <c r="M167" s="94"/>
      <c r="N167" s="81"/>
    </row>
    <row r="168" spans="1:14" s="53" customFormat="1" ht="47.25">
      <c r="A168" s="184"/>
      <c r="B168" s="184" t="s">
        <v>304</v>
      </c>
      <c r="C168" s="184" t="s">
        <v>180</v>
      </c>
      <c r="D168" s="161" t="s">
        <v>487</v>
      </c>
      <c r="E168" s="160" t="s">
        <v>141</v>
      </c>
      <c r="F168" s="130">
        <v>500000</v>
      </c>
      <c r="G168" s="183"/>
      <c r="H168" s="117">
        <f t="shared" si="3"/>
        <v>500000</v>
      </c>
      <c r="I168" s="84"/>
      <c r="J168" s="84"/>
      <c r="M168" s="94"/>
      <c r="N168" s="81"/>
    </row>
    <row r="169" spans="1:14" s="53" customFormat="1" ht="54.75" customHeight="1">
      <c r="A169" s="184"/>
      <c r="B169" s="184" t="s">
        <v>334</v>
      </c>
      <c r="C169" s="184" t="s">
        <v>180</v>
      </c>
      <c r="D169" s="161" t="s">
        <v>229</v>
      </c>
      <c r="E169" s="160" t="s">
        <v>141</v>
      </c>
      <c r="F169" s="130">
        <v>1260000</v>
      </c>
      <c r="G169" s="183"/>
      <c r="H169" s="117">
        <f t="shared" si="3"/>
        <v>1260000</v>
      </c>
      <c r="I169" s="84"/>
      <c r="J169" s="84"/>
      <c r="M169" s="94"/>
      <c r="N169" s="81"/>
    </row>
    <row r="170" spans="1:13" s="53" customFormat="1" ht="68.25" customHeight="1" hidden="1">
      <c r="A170" s="178"/>
      <c r="B170" s="178"/>
      <c r="C170" s="178"/>
      <c r="D170" s="179"/>
      <c r="E170" s="161"/>
      <c r="F170" s="134"/>
      <c r="G170" s="134"/>
      <c r="H170" s="117">
        <f t="shared" si="3"/>
        <v>0</v>
      </c>
      <c r="I170" s="84"/>
      <c r="J170" s="84"/>
      <c r="M170" s="76"/>
    </row>
    <row r="171" spans="1:13" s="53" customFormat="1" ht="49.5" customHeight="1" hidden="1">
      <c r="A171" s="184"/>
      <c r="B171" s="184" t="s">
        <v>288</v>
      </c>
      <c r="C171" s="184"/>
      <c r="D171" s="161" t="s">
        <v>322</v>
      </c>
      <c r="E171" s="161" t="s">
        <v>457</v>
      </c>
      <c r="F171" s="130"/>
      <c r="G171" s="148"/>
      <c r="H171" s="117">
        <f t="shared" si="3"/>
        <v>0</v>
      </c>
      <c r="I171" s="84"/>
      <c r="J171" s="84"/>
      <c r="M171" s="76"/>
    </row>
    <row r="172" spans="1:13" s="53" customFormat="1" ht="47.25" customHeight="1" hidden="1">
      <c r="A172" s="178"/>
      <c r="B172" s="178" t="s">
        <v>438</v>
      </c>
      <c r="C172" s="178"/>
      <c r="D172" s="179" t="s">
        <v>439</v>
      </c>
      <c r="E172" s="161"/>
      <c r="F172" s="134">
        <f>F173</f>
        <v>0</v>
      </c>
      <c r="G172" s="134">
        <f>G173</f>
        <v>0</v>
      </c>
      <c r="H172" s="134">
        <f>F172+G172</f>
        <v>0</v>
      </c>
      <c r="I172" s="84"/>
      <c r="J172" s="84"/>
      <c r="M172" s="76"/>
    </row>
    <row r="173" spans="1:13" s="53" customFormat="1" ht="31.5" customHeight="1" hidden="1">
      <c r="A173" s="184"/>
      <c r="B173" s="184" t="s">
        <v>416</v>
      </c>
      <c r="C173" s="184"/>
      <c r="D173" s="161" t="s">
        <v>417</v>
      </c>
      <c r="E173" s="160" t="s">
        <v>355</v>
      </c>
      <c r="F173" s="130"/>
      <c r="G173" s="148"/>
      <c r="H173" s="117">
        <f>F173+G173</f>
        <v>0</v>
      </c>
      <c r="I173" s="84"/>
      <c r="J173" s="83"/>
      <c r="M173" s="76"/>
    </row>
    <row r="174" spans="1:13" s="53" customFormat="1" ht="35.25" customHeight="1">
      <c r="A174" s="178"/>
      <c r="B174" s="178" t="s">
        <v>399</v>
      </c>
      <c r="C174" s="163"/>
      <c r="D174" s="179" t="s">
        <v>271</v>
      </c>
      <c r="E174" s="161"/>
      <c r="F174" s="134">
        <f>F175+F177+F182+F183+F187+F190+F191+F193+F194+F195+F181+F186+F189</f>
        <v>4877398</v>
      </c>
      <c r="G174" s="134">
        <f>G175+G176+G177+G180+G181+G182+G183+G186+G187+G188+G190+G191+G193+G195+G198+G199+G200+G194+G189</f>
        <v>4220011</v>
      </c>
      <c r="H174" s="139">
        <f>F174+G174</f>
        <v>9097409</v>
      </c>
      <c r="I174" s="83"/>
      <c r="J174" s="83"/>
      <c r="M174" s="76"/>
    </row>
    <row r="175" spans="1:13" s="53" customFormat="1" ht="47.25">
      <c r="A175" s="262"/>
      <c r="B175" s="265" t="s">
        <v>410</v>
      </c>
      <c r="C175" s="166" t="s">
        <v>181</v>
      </c>
      <c r="D175" s="264" t="s">
        <v>411</v>
      </c>
      <c r="E175" s="161" t="s">
        <v>120</v>
      </c>
      <c r="F175" s="130">
        <v>225504</v>
      </c>
      <c r="G175" s="117">
        <v>75227</v>
      </c>
      <c r="H175" s="148">
        <f>G175+F175</f>
        <v>300731</v>
      </c>
      <c r="I175" s="83"/>
      <c r="J175" s="83"/>
      <c r="M175" s="76"/>
    </row>
    <row r="176" spans="1:13" s="53" customFormat="1" ht="65.25" customHeight="1" hidden="1">
      <c r="A176" s="262"/>
      <c r="B176" s="265"/>
      <c r="C176" s="165"/>
      <c r="D176" s="264"/>
      <c r="E176" s="161" t="s">
        <v>371</v>
      </c>
      <c r="F176" s="130"/>
      <c r="G176" s="117"/>
      <c r="H176" s="148">
        <f aca="true" t="shared" si="4" ref="H176:H200">G176+F176</f>
        <v>0</v>
      </c>
      <c r="I176" s="84"/>
      <c r="J176" s="84"/>
      <c r="M176" s="76"/>
    </row>
    <row r="177" spans="1:13" s="53" customFormat="1" ht="47.25">
      <c r="A177" s="262"/>
      <c r="B177" s="265" t="s">
        <v>412</v>
      </c>
      <c r="C177" s="258" t="s">
        <v>182</v>
      </c>
      <c r="D177" s="264" t="s">
        <v>413</v>
      </c>
      <c r="E177" s="161" t="s">
        <v>120</v>
      </c>
      <c r="F177" s="130">
        <f>F178+F179</f>
        <v>786961</v>
      </c>
      <c r="G177" s="130">
        <f>G178+G179</f>
        <v>761843</v>
      </c>
      <c r="H177" s="148">
        <f t="shared" si="4"/>
        <v>1548804</v>
      </c>
      <c r="I177" s="83"/>
      <c r="J177" s="83"/>
      <c r="L177" s="81"/>
      <c r="M177" s="76"/>
    </row>
    <row r="178" spans="1:13" s="53" customFormat="1" ht="15.75">
      <c r="A178" s="262"/>
      <c r="B178" s="265"/>
      <c r="C178" s="261"/>
      <c r="D178" s="264"/>
      <c r="E178" s="205" t="s">
        <v>360</v>
      </c>
      <c r="F178" s="130">
        <v>786961</v>
      </c>
      <c r="G178" s="117">
        <f>730800+(16600)</f>
        <v>747400</v>
      </c>
      <c r="H178" s="148">
        <f t="shared" si="4"/>
        <v>1534361</v>
      </c>
      <c r="I178" s="83"/>
      <c r="J178" s="83"/>
      <c r="L178" s="81"/>
      <c r="M178" s="76"/>
    </row>
    <row r="179" spans="1:13" s="53" customFormat="1" ht="15.75">
      <c r="A179" s="262"/>
      <c r="B179" s="265"/>
      <c r="C179" s="261"/>
      <c r="D179" s="264"/>
      <c r="E179" s="171" t="s">
        <v>358</v>
      </c>
      <c r="F179" s="130"/>
      <c r="G179" s="117">
        <v>14443</v>
      </c>
      <c r="H179" s="148">
        <f t="shared" si="4"/>
        <v>14443</v>
      </c>
      <c r="I179" s="83"/>
      <c r="J179" s="83"/>
      <c r="L179" s="81"/>
      <c r="M179" s="76"/>
    </row>
    <row r="180" spans="1:13" s="53" customFormat="1" ht="63">
      <c r="A180" s="262"/>
      <c r="B180" s="265"/>
      <c r="C180" s="261"/>
      <c r="D180" s="264"/>
      <c r="E180" s="171" t="s">
        <v>361</v>
      </c>
      <c r="F180" s="131"/>
      <c r="G180" s="131">
        <v>11000</v>
      </c>
      <c r="H180" s="131">
        <f t="shared" si="4"/>
        <v>11000</v>
      </c>
      <c r="I180" s="84"/>
      <c r="J180" s="84"/>
      <c r="M180" s="76"/>
    </row>
    <row r="181" spans="1:13" s="53" customFormat="1" ht="31.5">
      <c r="A181" s="262"/>
      <c r="B181" s="265"/>
      <c r="C181" s="261"/>
      <c r="D181" s="264"/>
      <c r="E181" s="180" t="s">
        <v>135</v>
      </c>
      <c r="F181" s="138">
        <f>50000</f>
        <v>50000</v>
      </c>
      <c r="G181" s="181">
        <f>60000</f>
        <v>60000</v>
      </c>
      <c r="H181" s="148">
        <f t="shared" si="4"/>
        <v>110000</v>
      </c>
      <c r="I181" s="84"/>
      <c r="J181" s="84"/>
      <c r="M181" s="76"/>
    </row>
    <row r="182" spans="1:13" s="53" customFormat="1" ht="62.25" customHeight="1">
      <c r="A182" s="262"/>
      <c r="B182" s="265"/>
      <c r="C182" s="263"/>
      <c r="D182" s="264"/>
      <c r="E182" s="161" t="s">
        <v>132</v>
      </c>
      <c r="F182" s="117">
        <v>279</v>
      </c>
      <c r="G182" s="131"/>
      <c r="H182" s="148">
        <f t="shared" si="4"/>
        <v>279</v>
      </c>
      <c r="I182" s="84"/>
      <c r="J182" s="84"/>
      <c r="M182" s="76"/>
    </row>
    <row r="183" spans="1:13" s="53" customFormat="1" ht="54" customHeight="1">
      <c r="A183" s="258"/>
      <c r="B183" s="278" t="s">
        <v>420</v>
      </c>
      <c r="C183" s="258" t="s">
        <v>183</v>
      </c>
      <c r="D183" s="268" t="s">
        <v>421</v>
      </c>
      <c r="E183" s="161" t="s">
        <v>120</v>
      </c>
      <c r="F183" s="130">
        <f>F184+F185</f>
        <v>681970</v>
      </c>
      <c r="G183" s="130">
        <f>G184+G185</f>
        <v>2634019</v>
      </c>
      <c r="H183" s="148">
        <f t="shared" si="4"/>
        <v>3315989</v>
      </c>
      <c r="I183" s="83"/>
      <c r="J183" s="83"/>
      <c r="K183" s="81"/>
      <c r="L183" s="81"/>
      <c r="M183" s="76"/>
    </row>
    <row r="184" spans="1:13" s="53" customFormat="1" ht="15.75">
      <c r="A184" s="261"/>
      <c r="B184" s="252"/>
      <c r="C184" s="261"/>
      <c r="D184" s="273"/>
      <c r="E184" s="205" t="s">
        <v>360</v>
      </c>
      <c r="F184" s="117">
        <v>677050</v>
      </c>
      <c r="G184" s="117">
        <f>517493+272742+(1637264)</f>
        <v>2427499</v>
      </c>
      <c r="H184" s="148">
        <f t="shared" si="4"/>
        <v>3104549</v>
      </c>
      <c r="I184" s="84"/>
      <c r="J184" s="84"/>
      <c r="M184" s="76"/>
    </row>
    <row r="185" spans="1:13" s="53" customFormat="1" ht="15.75">
      <c r="A185" s="261"/>
      <c r="B185" s="252"/>
      <c r="C185" s="261"/>
      <c r="D185" s="273"/>
      <c r="E185" s="171" t="s">
        <v>358</v>
      </c>
      <c r="F185" s="117">
        <v>4920</v>
      </c>
      <c r="G185" s="131">
        <v>206520</v>
      </c>
      <c r="H185" s="148">
        <f t="shared" si="4"/>
        <v>211440</v>
      </c>
      <c r="I185" s="84"/>
      <c r="J185" s="84"/>
      <c r="M185" s="76"/>
    </row>
    <row r="186" spans="1:13" s="53" customFormat="1" ht="31.5">
      <c r="A186" s="260"/>
      <c r="B186" s="246"/>
      <c r="C186" s="263"/>
      <c r="D186" s="274"/>
      <c r="E186" s="180" t="s">
        <v>135</v>
      </c>
      <c r="F186" s="144">
        <f>20000</f>
        <v>20000</v>
      </c>
      <c r="G186" s="181">
        <f>40000</f>
        <v>40000</v>
      </c>
      <c r="H186" s="148">
        <f t="shared" si="4"/>
        <v>60000</v>
      </c>
      <c r="I186" s="84"/>
      <c r="J186" s="84"/>
      <c r="M186" s="76"/>
    </row>
    <row r="187" spans="1:13" s="53" customFormat="1" ht="51" customHeight="1">
      <c r="A187" s="258"/>
      <c r="B187" s="258" t="s">
        <v>418</v>
      </c>
      <c r="C187" s="258" t="s">
        <v>163</v>
      </c>
      <c r="D187" s="266" t="s">
        <v>419</v>
      </c>
      <c r="E187" s="161" t="s">
        <v>120</v>
      </c>
      <c r="F187" s="130">
        <v>307653</v>
      </c>
      <c r="G187" s="130">
        <f>358075+(27000)</f>
        <v>385075</v>
      </c>
      <c r="H187" s="148">
        <f t="shared" si="4"/>
        <v>692728</v>
      </c>
      <c r="I187" s="83"/>
      <c r="J187" s="83"/>
      <c r="L187" s="81"/>
      <c r="M187" s="76"/>
    </row>
    <row r="188" spans="1:13" s="53" customFormat="1" ht="70.5" customHeight="1">
      <c r="A188" s="261"/>
      <c r="B188" s="261"/>
      <c r="C188" s="261"/>
      <c r="D188" s="269"/>
      <c r="E188" s="171" t="s">
        <v>361</v>
      </c>
      <c r="F188" s="140"/>
      <c r="G188" s="140">
        <v>4000</v>
      </c>
      <c r="H188" s="140">
        <f>G188+F188</f>
        <v>4000</v>
      </c>
      <c r="I188" s="83"/>
      <c r="J188" s="83"/>
      <c r="L188" s="81"/>
      <c r="M188" s="76"/>
    </row>
    <row r="189" spans="1:13" s="152" customFormat="1" ht="52.5" customHeight="1">
      <c r="A189" s="261"/>
      <c r="B189" s="261"/>
      <c r="C189" s="261"/>
      <c r="D189" s="269"/>
      <c r="E189" s="194" t="s">
        <v>135</v>
      </c>
      <c r="F189" s="150">
        <v>20000</v>
      </c>
      <c r="G189" s="150">
        <f>30000+10000</f>
        <v>40000</v>
      </c>
      <c r="H189" s="150">
        <f>G189+F189</f>
        <v>60000</v>
      </c>
      <c r="I189" s="151"/>
      <c r="J189" s="151"/>
      <c r="L189" s="153"/>
      <c r="M189" s="154"/>
    </row>
    <row r="190" spans="1:13" s="53" customFormat="1" ht="62.25" customHeight="1">
      <c r="A190" s="261"/>
      <c r="B190" s="261"/>
      <c r="C190" s="263"/>
      <c r="D190" s="269"/>
      <c r="E190" s="161" t="s">
        <v>132</v>
      </c>
      <c r="F190" s="130">
        <v>1116</v>
      </c>
      <c r="G190" s="131"/>
      <c r="H190" s="148">
        <f t="shared" si="4"/>
        <v>1116</v>
      </c>
      <c r="I190" s="84"/>
      <c r="J190" s="84"/>
      <c r="M190" s="76"/>
    </row>
    <row r="191" spans="1:14" s="53" customFormat="1" ht="47.25">
      <c r="A191" s="237"/>
      <c r="B191" s="237">
        <v>110300</v>
      </c>
      <c r="C191" s="166" t="s">
        <v>185</v>
      </c>
      <c r="D191" s="266" t="s">
        <v>247</v>
      </c>
      <c r="E191" s="161" t="s">
        <v>120</v>
      </c>
      <c r="F191" s="129">
        <f>1183980+47400</f>
        <v>1231380</v>
      </c>
      <c r="G191" s="131"/>
      <c r="H191" s="148">
        <f t="shared" si="4"/>
        <v>1231380</v>
      </c>
      <c r="I191" s="83"/>
      <c r="J191" s="84"/>
      <c r="M191" s="94"/>
      <c r="N191" s="81"/>
    </row>
    <row r="192" spans="1:13" s="53" customFormat="1" ht="63" customHeight="1" hidden="1">
      <c r="A192" s="232"/>
      <c r="B192" s="232"/>
      <c r="C192" s="176"/>
      <c r="D192" s="267"/>
      <c r="E192" s="161" t="s">
        <v>224</v>
      </c>
      <c r="F192" s="129"/>
      <c r="G192" s="131"/>
      <c r="H192" s="148">
        <f t="shared" si="4"/>
        <v>0</v>
      </c>
      <c r="I192" s="84"/>
      <c r="J192" s="84"/>
      <c r="M192" s="76"/>
    </row>
    <row r="193" spans="1:13" s="53" customFormat="1" ht="53.25" customHeight="1">
      <c r="A193" s="245"/>
      <c r="B193" s="244">
        <v>110502</v>
      </c>
      <c r="C193" s="258" t="s">
        <v>184</v>
      </c>
      <c r="D193" s="264" t="s">
        <v>235</v>
      </c>
      <c r="E193" s="161" t="s">
        <v>144</v>
      </c>
      <c r="F193" s="133">
        <v>1091217</v>
      </c>
      <c r="G193" s="183"/>
      <c r="H193" s="148">
        <f t="shared" si="4"/>
        <v>1091217</v>
      </c>
      <c r="I193" s="83"/>
      <c r="J193" s="83"/>
      <c r="M193" s="76"/>
    </row>
    <row r="194" spans="1:13" s="53" customFormat="1" ht="66" customHeight="1">
      <c r="A194" s="245"/>
      <c r="B194" s="244"/>
      <c r="C194" s="261"/>
      <c r="D194" s="264"/>
      <c r="E194" s="171" t="s">
        <v>148</v>
      </c>
      <c r="F194" s="133">
        <v>6834</v>
      </c>
      <c r="G194" s="183"/>
      <c r="H194" s="148">
        <f t="shared" si="4"/>
        <v>6834</v>
      </c>
      <c r="I194" s="83"/>
      <c r="J194" s="83"/>
      <c r="M194" s="76"/>
    </row>
    <row r="195" spans="1:13" s="53" customFormat="1" ht="51" customHeight="1">
      <c r="A195" s="245"/>
      <c r="B195" s="244"/>
      <c r="C195" s="261"/>
      <c r="D195" s="264"/>
      <c r="E195" s="161" t="s">
        <v>120</v>
      </c>
      <c r="F195" s="133">
        <f>F196+F197</f>
        <v>454484</v>
      </c>
      <c r="G195" s="133">
        <f>G196+G197</f>
        <v>51000</v>
      </c>
      <c r="H195" s="148">
        <f t="shared" si="4"/>
        <v>505484</v>
      </c>
      <c r="I195" s="84"/>
      <c r="J195" s="84"/>
      <c r="M195" s="76"/>
    </row>
    <row r="196" spans="1:13" s="53" customFormat="1" ht="20.25" customHeight="1">
      <c r="A196" s="245"/>
      <c r="B196" s="244"/>
      <c r="C196" s="261"/>
      <c r="D196" s="264"/>
      <c r="E196" s="205" t="s">
        <v>360</v>
      </c>
      <c r="F196" s="133">
        <f>223440+97000</f>
        <v>320440</v>
      </c>
      <c r="G196" s="148">
        <v>51000</v>
      </c>
      <c r="H196" s="148">
        <f t="shared" si="4"/>
        <v>371440</v>
      </c>
      <c r="I196" s="84"/>
      <c r="J196" s="84"/>
      <c r="M196" s="76"/>
    </row>
    <row r="197" spans="1:13" s="53" customFormat="1" ht="27.75" customHeight="1">
      <c r="A197" s="245"/>
      <c r="B197" s="244"/>
      <c r="C197" s="263"/>
      <c r="D197" s="264"/>
      <c r="E197" s="171" t="s">
        <v>358</v>
      </c>
      <c r="F197" s="133">
        <v>134044</v>
      </c>
      <c r="G197" s="148"/>
      <c r="H197" s="148">
        <f t="shared" si="4"/>
        <v>134044</v>
      </c>
      <c r="I197" s="84"/>
      <c r="J197" s="84"/>
      <c r="M197" s="76"/>
    </row>
    <row r="198" spans="1:13" s="53" customFormat="1" ht="55.5" customHeight="1" hidden="1">
      <c r="A198" s="245"/>
      <c r="B198" s="244"/>
      <c r="C198" s="177"/>
      <c r="D198" s="264"/>
      <c r="E198" s="161" t="s">
        <v>373</v>
      </c>
      <c r="F198" s="133"/>
      <c r="G198" s="183"/>
      <c r="H198" s="148">
        <f t="shared" si="4"/>
        <v>0</v>
      </c>
      <c r="I198" s="84"/>
      <c r="J198" s="84"/>
      <c r="M198" s="76"/>
    </row>
    <row r="199" spans="1:13" s="53" customFormat="1" ht="68.25" customHeight="1" hidden="1">
      <c r="A199" s="245"/>
      <c r="B199" s="244"/>
      <c r="C199" s="177"/>
      <c r="D199" s="264"/>
      <c r="E199" s="161" t="s">
        <v>371</v>
      </c>
      <c r="F199" s="133"/>
      <c r="G199" s="183"/>
      <c r="H199" s="148">
        <f t="shared" si="4"/>
        <v>0</v>
      </c>
      <c r="I199" s="84"/>
      <c r="J199" s="84"/>
      <c r="M199" s="76"/>
    </row>
    <row r="200" spans="1:13" s="53" customFormat="1" ht="47.25">
      <c r="A200" s="184"/>
      <c r="B200" s="184" t="s">
        <v>301</v>
      </c>
      <c r="C200" s="184" t="s">
        <v>159</v>
      </c>
      <c r="D200" s="161" t="s">
        <v>302</v>
      </c>
      <c r="E200" s="161" t="s">
        <v>120</v>
      </c>
      <c r="F200" s="132"/>
      <c r="G200" s="117">
        <v>157847</v>
      </c>
      <c r="H200" s="148">
        <f t="shared" si="4"/>
        <v>157847</v>
      </c>
      <c r="I200" s="83"/>
      <c r="J200" s="83"/>
      <c r="M200" s="76"/>
    </row>
    <row r="201" spans="1:13" s="53" customFormat="1" ht="54" customHeight="1">
      <c r="A201" s="178"/>
      <c r="B201" s="178" t="s">
        <v>398</v>
      </c>
      <c r="C201" s="178"/>
      <c r="D201" s="179" t="s">
        <v>424</v>
      </c>
      <c r="E201" s="161"/>
      <c r="F201" s="134">
        <f>F202+F203+F207+F208+F209+F206</f>
        <v>1190548</v>
      </c>
      <c r="G201" s="134">
        <f>G202+G203+G207+G208+G209+G206</f>
        <v>1261552</v>
      </c>
      <c r="H201" s="134">
        <f>H202+H203+H207+H208+H209+H206</f>
        <v>2452100</v>
      </c>
      <c r="I201" s="83"/>
      <c r="J201" s="83"/>
      <c r="M201" s="76"/>
    </row>
    <row r="202" spans="1:13" s="53" customFormat="1" ht="31.5" customHeight="1" hidden="1">
      <c r="A202" s="166"/>
      <c r="B202" s="166" t="s">
        <v>416</v>
      </c>
      <c r="C202" s="166"/>
      <c r="D202" s="173" t="s">
        <v>417</v>
      </c>
      <c r="E202" s="160" t="s">
        <v>355</v>
      </c>
      <c r="F202" s="130"/>
      <c r="G202" s="117"/>
      <c r="H202" s="117">
        <f aca="true" t="shared" si="5" ref="H202:H213">F202+G202</f>
        <v>0</v>
      </c>
      <c r="I202" s="84"/>
      <c r="J202" s="83"/>
      <c r="M202" s="76"/>
    </row>
    <row r="203" spans="1:13" s="53" customFormat="1" ht="47.25">
      <c r="A203" s="166"/>
      <c r="B203" s="275" t="s">
        <v>301</v>
      </c>
      <c r="C203" s="278" t="s">
        <v>159</v>
      </c>
      <c r="D203" s="266" t="s">
        <v>302</v>
      </c>
      <c r="E203" s="160" t="s">
        <v>343</v>
      </c>
      <c r="F203" s="132"/>
      <c r="G203" s="117">
        <f>G204+G205</f>
        <v>305245</v>
      </c>
      <c r="H203" s="117">
        <f t="shared" si="5"/>
        <v>305245</v>
      </c>
      <c r="I203" s="84"/>
      <c r="J203" s="83"/>
      <c r="M203" s="76"/>
    </row>
    <row r="204" spans="1:13" s="53" customFormat="1" ht="15.75">
      <c r="A204" s="165"/>
      <c r="B204" s="276"/>
      <c r="C204" s="252"/>
      <c r="D204" s="269"/>
      <c r="E204" s="205" t="s">
        <v>360</v>
      </c>
      <c r="F204" s="132"/>
      <c r="G204" s="143">
        <v>50000</v>
      </c>
      <c r="H204" s="117">
        <f t="shared" si="5"/>
        <v>50000</v>
      </c>
      <c r="I204" s="84"/>
      <c r="J204" s="83"/>
      <c r="M204" s="76"/>
    </row>
    <row r="205" spans="1:13" s="53" customFormat="1" ht="15.75">
      <c r="A205" s="165"/>
      <c r="B205" s="276"/>
      <c r="C205" s="252"/>
      <c r="D205" s="269"/>
      <c r="E205" s="118" t="s">
        <v>358</v>
      </c>
      <c r="F205" s="132"/>
      <c r="G205" s="143">
        <v>255245</v>
      </c>
      <c r="H205" s="117">
        <f t="shared" si="5"/>
        <v>255245</v>
      </c>
      <c r="I205" s="84"/>
      <c r="J205" s="83"/>
      <c r="M205" s="76"/>
    </row>
    <row r="206" spans="1:13" s="53" customFormat="1" ht="47.25">
      <c r="A206" s="169"/>
      <c r="B206" s="277"/>
      <c r="C206" s="253"/>
      <c r="D206" s="267"/>
      <c r="E206" s="160" t="s">
        <v>202</v>
      </c>
      <c r="F206" s="132"/>
      <c r="G206" s="143">
        <v>956307</v>
      </c>
      <c r="H206" s="117">
        <f>G206+F206</f>
        <v>956307</v>
      </c>
      <c r="I206" s="84"/>
      <c r="J206" s="83"/>
      <c r="M206" s="76"/>
    </row>
    <row r="207" spans="1:14" s="53" customFormat="1" ht="66" customHeight="1">
      <c r="A207" s="168"/>
      <c r="B207" s="169" t="s">
        <v>294</v>
      </c>
      <c r="C207" s="195" t="s">
        <v>160</v>
      </c>
      <c r="D207" s="172" t="s">
        <v>309</v>
      </c>
      <c r="E207" s="130" t="s">
        <v>203</v>
      </c>
      <c r="F207" s="130">
        <v>566548</v>
      </c>
      <c r="G207" s="143"/>
      <c r="H207" s="117">
        <f t="shared" si="5"/>
        <v>566548</v>
      </c>
      <c r="I207" s="84"/>
      <c r="J207" s="84"/>
      <c r="M207" s="94"/>
      <c r="N207" s="81"/>
    </row>
    <row r="208" spans="1:14" s="53" customFormat="1" ht="60.75" customHeight="1">
      <c r="A208" s="167"/>
      <c r="B208" s="252" t="s">
        <v>319</v>
      </c>
      <c r="C208" s="258" t="s">
        <v>167</v>
      </c>
      <c r="D208" s="266" t="s">
        <v>472</v>
      </c>
      <c r="E208" s="160" t="s">
        <v>136</v>
      </c>
      <c r="F208" s="130">
        <f>134000+(474000)</f>
        <v>608000</v>
      </c>
      <c r="G208" s="130"/>
      <c r="H208" s="117">
        <f t="shared" si="5"/>
        <v>608000</v>
      </c>
      <c r="I208" s="84"/>
      <c r="J208" s="84"/>
      <c r="M208" s="94"/>
      <c r="N208" s="81"/>
    </row>
    <row r="209" spans="1:14" s="53" customFormat="1" ht="77.25" customHeight="1">
      <c r="A209" s="170"/>
      <c r="B209" s="253"/>
      <c r="C209" s="263"/>
      <c r="D209" s="267"/>
      <c r="E209" s="160" t="s">
        <v>128</v>
      </c>
      <c r="F209" s="130">
        <v>16000</v>
      </c>
      <c r="G209" s="143"/>
      <c r="H209" s="117">
        <f t="shared" si="5"/>
        <v>16000</v>
      </c>
      <c r="I209" s="84"/>
      <c r="J209" s="84"/>
      <c r="M209" s="94"/>
      <c r="N209" s="81"/>
    </row>
    <row r="210" spans="1:13" s="53" customFormat="1" ht="45.75" customHeight="1">
      <c r="A210" s="191"/>
      <c r="B210" s="191" t="s">
        <v>396</v>
      </c>
      <c r="C210" s="192"/>
      <c r="D210" s="193" t="s">
        <v>479</v>
      </c>
      <c r="E210" s="161"/>
      <c r="F210" s="134">
        <f>F211+F212+F213+F214+F217+F218+F221+F222+F224+F227+F230+F231+F232+F235+F236+F237+F238+F239+F242+F246+F250+F253+F254</f>
        <v>201449585</v>
      </c>
      <c r="G210" s="134">
        <f>G211+G212+G213+G214+G217+G218+G221+G222+G224+G227+G230+G231+G232+G235+G236+G237+G238+G239+G242+G246+G250+G253+G254+G249</f>
        <v>413157013</v>
      </c>
      <c r="H210" s="134">
        <f>H211+H212+H213+H214+H217+H218+H221+H222+H224+H227+H230+H231+H232+H235+H236+H237+H238+H239+H242+H246+H250+H253+H254+H249</f>
        <v>614606598</v>
      </c>
      <c r="I210" s="83"/>
      <c r="J210" s="83"/>
      <c r="M210" s="76"/>
    </row>
    <row r="211" spans="1:13" s="53" customFormat="1" ht="45.75" customHeight="1" hidden="1">
      <c r="A211" s="262"/>
      <c r="B211" s="265" t="s">
        <v>416</v>
      </c>
      <c r="C211" s="166"/>
      <c r="D211" s="264" t="s">
        <v>417</v>
      </c>
      <c r="E211" s="160" t="s">
        <v>355</v>
      </c>
      <c r="F211" s="134"/>
      <c r="G211" s="117"/>
      <c r="H211" s="117">
        <f t="shared" si="5"/>
        <v>0</v>
      </c>
      <c r="I211" s="83"/>
      <c r="J211" s="83"/>
      <c r="M211" s="76"/>
    </row>
    <row r="212" spans="1:13" s="53" customFormat="1" ht="61.5" customHeight="1">
      <c r="A212" s="258"/>
      <c r="B212" s="278"/>
      <c r="C212" s="184" t="s">
        <v>157</v>
      </c>
      <c r="D212" s="268"/>
      <c r="E212" s="161" t="s">
        <v>132</v>
      </c>
      <c r="F212" s="130">
        <v>239</v>
      </c>
      <c r="G212" s="117"/>
      <c r="H212" s="117">
        <f t="shared" si="5"/>
        <v>239</v>
      </c>
      <c r="I212" s="84"/>
      <c r="J212" s="84"/>
      <c r="M212" s="76"/>
    </row>
    <row r="213" spans="1:14" s="53" customFormat="1" ht="47.25">
      <c r="A213" s="166"/>
      <c r="B213" s="166" t="s">
        <v>303</v>
      </c>
      <c r="C213" s="165" t="s">
        <v>179</v>
      </c>
      <c r="D213" s="166" t="s">
        <v>310</v>
      </c>
      <c r="E213" s="160" t="s">
        <v>137</v>
      </c>
      <c r="F213" s="130">
        <v>221900</v>
      </c>
      <c r="G213" s="143"/>
      <c r="H213" s="117">
        <f t="shared" si="5"/>
        <v>221900</v>
      </c>
      <c r="I213" s="84"/>
      <c r="J213" s="84"/>
      <c r="M213" s="94"/>
      <c r="N213" s="81"/>
    </row>
    <row r="214" spans="1:14" s="53" customFormat="1" ht="47.25">
      <c r="A214" s="166"/>
      <c r="B214" s="275" t="s">
        <v>470</v>
      </c>
      <c r="C214" s="258" t="s">
        <v>186</v>
      </c>
      <c r="D214" s="266" t="s">
        <v>471</v>
      </c>
      <c r="E214" s="160" t="s">
        <v>137</v>
      </c>
      <c r="F214" s="130">
        <f>F215+F216</f>
        <v>34631682</v>
      </c>
      <c r="G214" s="143"/>
      <c r="H214" s="117">
        <f aca="true" t="shared" si="6" ref="H214:H245">F214+G214</f>
        <v>34631682</v>
      </c>
      <c r="I214" s="84"/>
      <c r="J214" s="84"/>
      <c r="M214" s="94"/>
      <c r="N214" s="81"/>
    </row>
    <row r="215" spans="1:14" s="53" customFormat="1" ht="15.75">
      <c r="A215" s="165"/>
      <c r="B215" s="276"/>
      <c r="C215" s="261"/>
      <c r="D215" s="269"/>
      <c r="E215" s="205" t="s">
        <v>360</v>
      </c>
      <c r="F215" s="130">
        <f>14460440+20000000+(52000)</f>
        <v>34512440</v>
      </c>
      <c r="G215" s="143"/>
      <c r="H215" s="117">
        <f t="shared" si="6"/>
        <v>34512440</v>
      </c>
      <c r="I215" s="84"/>
      <c r="J215" s="84"/>
      <c r="M215" s="94"/>
      <c r="N215" s="81"/>
    </row>
    <row r="216" spans="1:14" s="53" customFormat="1" ht="15.75">
      <c r="A216" s="165"/>
      <c r="B216" s="276"/>
      <c r="C216" s="261"/>
      <c r="D216" s="269"/>
      <c r="E216" s="118" t="s">
        <v>358</v>
      </c>
      <c r="F216" s="130">
        <v>119242</v>
      </c>
      <c r="G216" s="143"/>
      <c r="H216" s="117">
        <f>F216+G216</f>
        <v>119242</v>
      </c>
      <c r="I216" s="84"/>
      <c r="J216" s="84"/>
      <c r="M216" s="94"/>
      <c r="N216" s="81"/>
    </row>
    <row r="217" spans="1:14" s="53" customFormat="1" ht="31.5">
      <c r="A217" s="169"/>
      <c r="B217" s="277"/>
      <c r="C217" s="263"/>
      <c r="D217" s="267"/>
      <c r="E217" s="180" t="s">
        <v>135</v>
      </c>
      <c r="F217" s="137">
        <f>400000</f>
        <v>400000</v>
      </c>
      <c r="G217" s="143"/>
      <c r="H217" s="117">
        <f>F217+G217</f>
        <v>400000</v>
      </c>
      <c r="I217" s="84"/>
      <c r="J217" s="84"/>
      <c r="M217" s="94"/>
      <c r="N217" s="81"/>
    </row>
    <row r="218" spans="1:13" s="53" customFormat="1" ht="47.25">
      <c r="A218" s="261"/>
      <c r="B218" s="261" t="s">
        <v>331</v>
      </c>
      <c r="C218" s="258" t="s">
        <v>186</v>
      </c>
      <c r="D218" s="269" t="s">
        <v>332</v>
      </c>
      <c r="E218" s="160" t="s">
        <v>137</v>
      </c>
      <c r="F218" s="130"/>
      <c r="G218" s="117">
        <f>G219+G220</f>
        <v>226578620</v>
      </c>
      <c r="H218" s="117">
        <f t="shared" si="6"/>
        <v>226578620</v>
      </c>
      <c r="I218" s="84"/>
      <c r="J218" s="83"/>
      <c r="M218" s="76"/>
    </row>
    <row r="219" spans="1:13" s="53" customFormat="1" ht="15.75">
      <c r="A219" s="261"/>
      <c r="B219" s="261"/>
      <c r="C219" s="261"/>
      <c r="D219" s="269"/>
      <c r="E219" s="205" t="s">
        <v>360</v>
      </c>
      <c r="F219" s="130"/>
      <c r="G219" s="143">
        <f>240710073-24792831-2500000</f>
        <v>213417242</v>
      </c>
      <c r="H219" s="117">
        <f t="shared" si="6"/>
        <v>213417242</v>
      </c>
      <c r="I219" s="84"/>
      <c r="J219" s="84"/>
      <c r="M219" s="76"/>
    </row>
    <row r="220" spans="1:13" s="53" customFormat="1" ht="15.75">
      <c r="A220" s="261"/>
      <c r="B220" s="261"/>
      <c r="C220" s="261"/>
      <c r="D220" s="269"/>
      <c r="E220" s="171" t="s">
        <v>358</v>
      </c>
      <c r="F220" s="130"/>
      <c r="G220" s="143">
        <v>13161378</v>
      </c>
      <c r="H220" s="117">
        <f t="shared" si="6"/>
        <v>13161378</v>
      </c>
      <c r="I220" s="84"/>
      <c r="J220" s="84"/>
      <c r="M220" s="76"/>
    </row>
    <row r="221" spans="1:13" s="53" customFormat="1" ht="31.5">
      <c r="A221" s="261"/>
      <c r="B221" s="261"/>
      <c r="C221" s="261"/>
      <c r="D221" s="269"/>
      <c r="E221" s="180" t="s">
        <v>135</v>
      </c>
      <c r="F221" s="130"/>
      <c r="G221" s="155">
        <f>395000-20000-20000-85000</f>
        <v>270000</v>
      </c>
      <c r="H221" s="117">
        <f>F221+G221</f>
        <v>270000</v>
      </c>
      <c r="I221" s="84"/>
      <c r="J221" s="84"/>
      <c r="M221" s="76"/>
    </row>
    <row r="222" spans="1:13" s="53" customFormat="1" ht="63">
      <c r="A222" s="261"/>
      <c r="B222" s="261"/>
      <c r="C222" s="263"/>
      <c r="D222" s="269"/>
      <c r="E222" s="171" t="s">
        <v>361</v>
      </c>
      <c r="F222" s="140"/>
      <c r="G222" s="140">
        <v>115390</v>
      </c>
      <c r="H222" s="140">
        <f>G222+F222</f>
        <v>115390</v>
      </c>
      <c r="I222" s="84"/>
      <c r="J222" s="84"/>
      <c r="M222" s="76"/>
    </row>
    <row r="223" spans="1:14" s="53" customFormat="1" ht="47.25" customHeight="1" hidden="1">
      <c r="A223" s="166"/>
      <c r="B223" s="166" t="s">
        <v>81</v>
      </c>
      <c r="C223" s="166"/>
      <c r="D223" s="173" t="s">
        <v>230</v>
      </c>
      <c r="E223" s="161" t="s">
        <v>569</v>
      </c>
      <c r="F223" s="130">
        <f>449300-449300</f>
        <v>0</v>
      </c>
      <c r="G223" s="141"/>
      <c r="H223" s="117">
        <f t="shared" si="6"/>
        <v>0</v>
      </c>
      <c r="I223" s="84"/>
      <c r="J223" s="84"/>
      <c r="M223" s="94"/>
      <c r="N223" s="81"/>
    </row>
    <row r="224" spans="1:13" s="53" customFormat="1" ht="51.75" customHeight="1">
      <c r="A224" s="166"/>
      <c r="B224" s="275" t="s">
        <v>514</v>
      </c>
      <c r="C224" s="258" t="s">
        <v>186</v>
      </c>
      <c r="D224" s="266" t="s">
        <v>515</v>
      </c>
      <c r="E224" s="160" t="s">
        <v>137</v>
      </c>
      <c r="F224" s="130"/>
      <c r="G224" s="117">
        <f>G225+G226</f>
        <v>2005589</v>
      </c>
      <c r="H224" s="117">
        <f t="shared" si="6"/>
        <v>2005589</v>
      </c>
      <c r="I224" s="84"/>
      <c r="J224" s="83"/>
      <c r="M224" s="76"/>
    </row>
    <row r="225" spans="1:13" s="53" customFormat="1" ht="21.75" customHeight="1">
      <c r="A225" s="165"/>
      <c r="B225" s="276"/>
      <c r="C225" s="261"/>
      <c r="D225" s="269"/>
      <c r="E225" s="205" t="s">
        <v>360</v>
      </c>
      <c r="F225" s="130"/>
      <c r="G225" s="117">
        <f>1907169-7169</f>
        <v>1900000</v>
      </c>
      <c r="H225" s="117">
        <f t="shared" si="6"/>
        <v>1900000</v>
      </c>
      <c r="I225" s="84"/>
      <c r="J225" s="83"/>
      <c r="M225" s="76"/>
    </row>
    <row r="226" spans="1:13" s="53" customFormat="1" ht="22.5" customHeight="1">
      <c r="A226" s="169"/>
      <c r="B226" s="277"/>
      <c r="C226" s="263"/>
      <c r="D226" s="267"/>
      <c r="E226" s="118" t="s">
        <v>358</v>
      </c>
      <c r="F226" s="130"/>
      <c r="G226" s="117">
        <v>105589</v>
      </c>
      <c r="H226" s="117">
        <f t="shared" si="6"/>
        <v>105589</v>
      </c>
      <c r="I226" s="84"/>
      <c r="J226" s="83"/>
      <c r="M226" s="76"/>
    </row>
    <row r="227" spans="1:14" s="53" customFormat="1" ht="51" customHeight="1">
      <c r="A227" s="258"/>
      <c r="B227" s="258" t="s">
        <v>311</v>
      </c>
      <c r="C227" s="258" t="s">
        <v>187</v>
      </c>
      <c r="D227" s="267" t="s">
        <v>333</v>
      </c>
      <c r="E227" s="160" t="s">
        <v>137</v>
      </c>
      <c r="F227" s="130">
        <f>F228+F229</f>
        <v>58981338</v>
      </c>
      <c r="G227" s="130">
        <f>G228+G229</f>
        <v>1918405</v>
      </c>
      <c r="H227" s="117">
        <f t="shared" si="6"/>
        <v>60899743</v>
      </c>
      <c r="I227" s="84"/>
      <c r="J227" s="83"/>
      <c r="M227" s="94"/>
      <c r="N227" s="81"/>
    </row>
    <row r="228" spans="1:14" s="53" customFormat="1" ht="25.5" customHeight="1">
      <c r="A228" s="261"/>
      <c r="B228" s="261"/>
      <c r="C228" s="261"/>
      <c r="D228" s="233"/>
      <c r="E228" s="205" t="s">
        <v>360</v>
      </c>
      <c r="F228" s="130">
        <v>58751520</v>
      </c>
      <c r="G228" s="117">
        <v>1600000</v>
      </c>
      <c r="H228" s="117">
        <f t="shared" si="6"/>
        <v>60351520</v>
      </c>
      <c r="I228" s="84"/>
      <c r="J228" s="83"/>
      <c r="M228" s="94"/>
      <c r="N228" s="81"/>
    </row>
    <row r="229" spans="1:14" s="53" customFormat="1" ht="21.75" customHeight="1">
      <c r="A229" s="261"/>
      <c r="B229" s="261"/>
      <c r="C229" s="261"/>
      <c r="D229" s="233"/>
      <c r="E229" s="171" t="s">
        <v>358</v>
      </c>
      <c r="F229" s="130">
        <v>229818</v>
      </c>
      <c r="G229" s="117">
        <v>318405</v>
      </c>
      <c r="H229" s="117">
        <f t="shared" si="6"/>
        <v>548223</v>
      </c>
      <c r="I229" s="84"/>
      <c r="J229" s="83"/>
      <c r="M229" s="94"/>
      <c r="N229" s="81"/>
    </row>
    <row r="230" spans="1:14" s="53" customFormat="1" ht="39" customHeight="1">
      <c r="A230" s="261"/>
      <c r="B230" s="261"/>
      <c r="C230" s="261"/>
      <c r="D230" s="233"/>
      <c r="E230" s="180" t="s">
        <v>135</v>
      </c>
      <c r="F230" s="137">
        <f>50000+5000</f>
        <v>55000</v>
      </c>
      <c r="G230" s="181"/>
      <c r="H230" s="117">
        <f>F230+G230</f>
        <v>55000</v>
      </c>
      <c r="I230" s="84"/>
      <c r="J230" s="83"/>
      <c r="M230" s="94"/>
      <c r="N230" s="81"/>
    </row>
    <row r="231" spans="1:14" s="53" customFormat="1" ht="70.5" customHeight="1">
      <c r="A231" s="263"/>
      <c r="B231" s="263"/>
      <c r="C231" s="263"/>
      <c r="D231" s="233"/>
      <c r="E231" s="171" t="s">
        <v>362</v>
      </c>
      <c r="F231" s="140"/>
      <c r="G231" s="140">
        <v>22560</v>
      </c>
      <c r="H231" s="140">
        <f>G231+F231</f>
        <v>22560</v>
      </c>
      <c r="I231" s="84"/>
      <c r="J231" s="83"/>
      <c r="M231" s="94"/>
      <c r="N231" s="81"/>
    </row>
    <row r="232" spans="1:13" s="53" customFormat="1" ht="51" customHeight="1">
      <c r="A232" s="262"/>
      <c r="B232" s="262" t="s">
        <v>301</v>
      </c>
      <c r="C232" s="258" t="s">
        <v>159</v>
      </c>
      <c r="D232" s="233" t="s">
        <v>302</v>
      </c>
      <c r="E232" s="160" t="s">
        <v>137</v>
      </c>
      <c r="F232" s="132"/>
      <c r="G232" s="148">
        <f>G233+G234</f>
        <v>79706391</v>
      </c>
      <c r="H232" s="117">
        <f t="shared" si="6"/>
        <v>79706391</v>
      </c>
      <c r="I232" s="84"/>
      <c r="J232" s="83"/>
      <c r="M232" s="76"/>
    </row>
    <row r="233" spans="1:13" s="53" customFormat="1" ht="21" customHeight="1">
      <c r="A233" s="262"/>
      <c r="B233" s="262"/>
      <c r="C233" s="261"/>
      <c r="D233" s="233"/>
      <c r="E233" s="205" t="s">
        <v>360</v>
      </c>
      <c r="F233" s="132"/>
      <c r="G233" s="148">
        <f>79615940+16324670-14498164+1000000-469945+(6198785)-13828565+1628085</f>
        <v>75970806</v>
      </c>
      <c r="H233" s="117">
        <f t="shared" si="6"/>
        <v>75970806</v>
      </c>
      <c r="I233" s="84"/>
      <c r="J233" s="83"/>
      <c r="M233" s="76"/>
    </row>
    <row r="234" spans="1:13" s="53" customFormat="1" ht="19.5" customHeight="1">
      <c r="A234" s="262"/>
      <c r="B234" s="262"/>
      <c r="C234" s="261"/>
      <c r="D234" s="233"/>
      <c r="E234" s="171" t="s">
        <v>358</v>
      </c>
      <c r="F234" s="132"/>
      <c r="G234" s="148">
        <f>4326938-591353</f>
        <v>3735585</v>
      </c>
      <c r="H234" s="117">
        <f t="shared" si="6"/>
        <v>3735585</v>
      </c>
      <c r="I234" s="84"/>
      <c r="J234" s="83"/>
      <c r="M234" s="76"/>
    </row>
    <row r="235" spans="1:13" s="53" customFormat="1" ht="51" customHeight="1" hidden="1">
      <c r="A235" s="262"/>
      <c r="B235" s="262"/>
      <c r="C235" s="165"/>
      <c r="D235" s="233"/>
      <c r="E235" s="161" t="s">
        <v>342</v>
      </c>
      <c r="F235" s="132"/>
      <c r="G235" s="148"/>
      <c r="H235" s="117">
        <f t="shared" si="6"/>
        <v>0</v>
      </c>
      <c r="I235" s="84"/>
      <c r="J235" s="83"/>
      <c r="M235" s="76"/>
    </row>
    <row r="236" spans="1:13" s="53" customFormat="1" ht="31.5" customHeight="1" hidden="1">
      <c r="A236" s="262"/>
      <c r="B236" s="262"/>
      <c r="C236" s="169"/>
      <c r="D236" s="233"/>
      <c r="E236" s="180" t="s">
        <v>135</v>
      </c>
      <c r="F236" s="132"/>
      <c r="G236" s="146"/>
      <c r="H236" s="181">
        <f t="shared" si="6"/>
        <v>0</v>
      </c>
      <c r="I236" s="84"/>
      <c r="J236" s="84"/>
      <c r="M236" s="76"/>
    </row>
    <row r="237" spans="1:13" s="53" customFormat="1" ht="54.75" customHeight="1">
      <c r="A237" s="258"/>
      <c r="B237" s="258" t="s">
        <v>256</v>
      </c>
      <c r="C237" s="166" t="s">
        <v>170</v>
      </c>
      <c r="D237" s="266" t="s">
        <v>455</v>
      </c>
      <c r="E237" s="160" t="s">
        <v>137</v>
      </c>
      <c r="F237" s="132"/>
      <c r="G237" s="117">
        <v>3870326</v>
      </c>
      <c r="H237" s="117">
        <f t="shared" si="6"/>
        <v>3870326</v>
      </c>
      <c r="I237" s="84"/>
      <c r="J237" s="83"/>
      <c r="M237" s="76"/>
    </row>
    <row r="238" spans="1:13" s="53" customFormat="1" ht="84" customHeight="1" hidden="1">
      <c r="A238" s="261"/>
      <c r="B238" s="261"/>
      <c r="C238" s="165"/>
      <c r="D238" s="269"/>
      <c r="E238" s="161" t="s">
        <v>521</v>
      </c>
      <c r="F238" s="132"/>
      <c r="G238" s="117"/>
      <c r="H238" s="117">
        <f t="shared" si="6"/>
        <v>0</v>
      </c>
      <c r="I238" s="84"/>
      <c r="J238" s="84"/>
      <c r="M238" s="76"/>
    </row>
    <row r="239" spans="1:13" s="53" customFormat="1" ht="57.75" customHeight="1">
      <c r="A239" s="166"/>
      <c r="B239" s="275" t="s">
        <v>313</v>
      </c>
      <c r="C239" s="258" t="s">
        <v>188</v>
      </c>
      <c r="D239" s="268" t="s">
        <v>314</v>
      </c>
      <c r="E239" s="160" t="s">
        <v>137</v>
      </c>
      <c r="F239" s="132">
        <f>F240+F241</f>
        <v>76475694</v>
      </c>
      <c r="G239" s="132">
        <f>G240+G241</f>
        <v>41414082</v>
      </c>
      <c r="H239" s="117">
        <f t="shared" si="6"/>
        <v>117889776</v>
      </c>
      <c r="I239" s="84"/>
      <c r="J239" s="83"/>
      <c r="M239" s="76"/>
    </row>
    <row r="240" spans="1:13" s="53" customFormat="1" ht="22.5" customHeight="1">
      <c r="A240" s="165"/>
      <c r="B240" s="276"/>
      <c r="C240" s="261"/>
      <c r="D240" s="273"/>
      <c r="E240" s="205" t="s">
        <v>360</v>
      </c>
      <c r="F240" s="145">
        <f>66522812+(9527322)</f>
        <v>76050134</v>
      </c>
      <c r="G240" s="196">
        <f>11993980+14498164-1000000+469945+(372678)+13828565</f>
        <v>40163332</v>
      </c>
      <c r="H240" s="117">
        <f t="shared" si="6"/>
        <v>116213466</v>
      </c>
      <c r="I240" s="84"/>
      <c r="J240" s="83"/>
      <c r="M240" s="76"/>
    </row>
    <row r="241" spans="1:13" s="53" customFormat="1" ht="20.25" customHeight="1">
      <c r="A241" s="165"/>
      <c r="B241" s="276"/>
      <c r="C241" s="261"/>
      <c r="D241" s="273"/>
      <c r="E241" s="118" t="s">
        <v>358</v>
      </c>
      <c r="F241" s="145">
        <v>425560</v>
      </c>
      <c r="G241" s="196">
        <f>659397+591353</f>
        <v>1250750</v>
      </c>
      <c r="H241" s="117">
        <f t="shared" si="6"/>
        <v>1676310</v>
      </c>
      <c r="I241" s="84"/>
      <c r="J241" s="83"/>
      <c r="M241" s="76"/>
    </row>
    <row r="242" spans="1:13" s="53" customFormat="1" ht="53.25" customHeight="1">
      <c r="A242" s="266"/>
      <c r="B242" s="234">
        <v>180409</v>
      </c>
      <c r="C242" s="258" t="s">
        <v>159</v>
      </c>
      <c r="D242" s="268" t="s">
        <v>478</v>
      </c>
      <c r="E242" s="268" t="s">
        <v>137</v>
      </c>
      <c r="F242" s="242"/>
      <c r="G242" s="240">
        <f>G244+G245</f>
        <v>52086534</v>
      </c>
      <c r="H242" s="240">
        <f t="shared" si="6"/>
        <v>52086534</v>
      </c>
      <c r="I242" s="84"/>
      <c r="J242" s="83"/>
      <c r="M242" s="76"/>
    </row>
    <row r="243" spans="1:13" s="53" customFormat="1" ht="15.75">
      <c r="A243" s="269"/>
      <c r="B243" s="235"/>
      <c r="C243" s="261"/>
      <c r="D243" s="273"/>
      <c r="E243" s="254"/>
      <c r="F243" s="243"/>
      <c r="G243" s="241"/>
      <c r="H243" s="241"/>
      <c r="I243" s="84"/>
      <c r="J243" s="84"/>
      <c r="M243" s="76"/>
    </row>
    <row r="244" spans="1:13" s="53" customFormat="1" ht="15.75">
      <c r="A244" s="172"/>
      <c r="B244" s="235"/>
      <c r="C244" s="261"/>
      <c r="D244" s="199"/>
      <c r="E244" s="205" t="s">
        <v>360</v>
      </c>
      <c r="F244" s="162"/>
      <c r="G244" s="197">
        <f>29056456+(22876078)-22876078+22876078</f>
        <v>51932534</v>
      </c>
      <c r="H244" s="117">
        <f t="shared" si="6"/>
        <v>51932534</v>
      </c>
      <c r="I244" s="84"/>
      <c r="J244" s="84"/>
      <c r="M244" s="76"/>
    </row>
    <row r="245" spans="1:13" s="53" customFormat="1" ht="15.75">
      <c r="A245" s="172"/>
      <c r="B245" s="235"/>
      <c r="C245" s="261"/>
      <c r="D245" s="199"/>
      <c r="E245" s="118" t="s">
        <v>358</v>
      </c>
      <c r="F245" s="162"/>
      <c r="G245" s="197">
        <v>154000</v>
      </c>
      <c r="H245" s="117">
        <f t="shared" si="6"/>
        <v>154000</v>
      </c>
      <c r="I245" s="84"/>
      <c r="J245" s="84"/>
      <c r="M245" s="76"/>
    </row>
    <row r="246" spans="1:13" s="53" customFormat="1" ht="47.25">
      <c r="A246" s="166"/>
      <c r="B246" s="234">
        <v>200700</v>
      </c>
      <c r="C246" s="258" t="s">
        <v>168</v>
      </c>
      <c r="D246" s="268" t="s">
        <v>375</v>
      </c>
      <c r="E246" s="160" t="s">
        <v>134</v>
      </c>
      <c r="F246" s="132"/>
      <c r="G246" s="132">
        <f>G247+G248</f>
        <v>3823526</v>
      </c>
      <c r="H246" s="117">
        <f aca="true" t="shared" si="7" ref="H246:H266">F246+G246</f>
        <v>3823526</v>
      </c>
      <c r="I246" s="84"/>
      <c r="J246" s="83"/>
      <c r="M246" s="76"/>
    </row>
    <row r="247" spans="1:13" s="53" customFormat="1" ht="15.75">
      <c r="A247" s="165"/>
      <c r="B247" s="235"/>
      <c r="C247" s="261"/>
      <c r="D247" s="273"/>
      <c r="E247" s="205" t="s">
        <v>360</v>
      </c>
      <c r="F247" s="132"/>
      <c r="G247" s="132">
        <f>312282+1323526</f>
        <v>1635808</v>
      </c>
      <c r="H247" s="117">
        <f t="shared" si="7"/>
        <v>1635808</v>
      </c>
      <c r="I247" s="84"/>
      <c r="J247" s="83"/>
      <c r="M247" s="76"/>
    </row>
    <row r="248" spans="1:13" s="53" customFormat="1" ht="15.75">
      <c r="A248" s="169"/>
      <c r="B248" s="212"/>
      <c r="C248" s="263"/>
      <c r="D248" s="254"/>
      <c r="E248" s="118" t="s">
        <v>358</v>
      </c>
      <c r="F248" s="132"/>
      <c r="G248" s="132">
        <v>2187718</v>
      </c>
      <c r="H248" s="117">
        <f t="shared" si="7"/>
        <v>2187718</v>
      </c>
      <c r="I248" s="84"/>
      <c r="J248" s="83"/>
      <c r="M248" s="76"/>
    </row>
    <row r="249" spans="1:13" s="53" customFormat="1" ht="52.5" customHeight="1">
      <c r="A249" s="184"/>
      <c r="B249" s="161">
        <v>240601</v>
      </c>
      <c r="C249" s="184" t="s">
        <v>169</v>
      </c>
      <c r="D249" s="161" t="s">
        <v>323</v>
      </c>
      <c r="E249" s="160" t="s">
        <v>134</v>
      </c>
      <c r="F249" s="132"/>
      <c r="G249" s="132">
        <f>864192</f>
        <v>864192</v>
      </c>
      <c r="H249" s="117">
        <f t="shared" si="7"/>
        <v>864192</v>
      </c>
      <c r="I249" s="84"/>
      <c r="J249" s="83"/>
      <c r="M249" s="76"/>
    </row>
    <row r="250" spans="1:14" s="53" customFormat="1" ht="48.75" customHeight="1">
      <c r="A250" s="261"/>
      <c r="B250" s="261" t="s">
        <v>294</v>
      </c>
      <c r="C250" s="258" t="s">
        <v>160</v>
      </c>
      <c r="D250" s="269" t="s">
        <v>309</v>
      </c>
      <c r="E250" s="160" t="s">
        <v>137</v>
      </c>
      <c r="F250" s="130">
        <f>F251+F252</f>
        <v>30570232</v>
      </c>
      <c r="G250" s="130">
        <f>G251+G252</f>
        <v>481398</v>
      </c>
      <c r="H250" s="117">
        <f t="shared" si="7"/>
        <v>31051630</v>
      </c>
      <c r="I250" s="84"/>
      <c r="J250" s="83"/>
      <c r="M250" s="94"/>
      <c r="N250" s="81"/>
    </row>
    <row r="251" spans="1:14" s="53" customFormat="1" ht="24" customHeight="1">
      <c r="A251" s="261"/>
      <c r="B251" s="261"/>
      <c r="C251" s="261"/>
      <c r="D251" s="269"/>
      <c r="E251" s="205" t="s">
        <v>360</v>
      </c>
      <c r="F251" s="130">
        <f>30284431-20000000+20000000+(165179)</f>
        <v>30449610</v>
      </c>
      <c r="G251" s="148">
        <v>480000</v>
      </c>
      <c r="H251" s="117">
        <f t="shared" si="7"/>
        <v>30929610</v>
      </c>
      <c r="I251" s="84"/>
      <c r="J251" s="83"/>
      <c r="M251" s="94"/>
      <c r="N251" s="81"/>
    </row>
    <row r="252" spans="1:14" s="53" customFormat="1" ht="22.5" customHeight="1">
      <c r="A252" s="261"/>
      <c r="B252" s="261"/>
      <c r="C252" s="261"/>
      <c r="D252" s="269"/>
      <c r="E252" s="118" t="s">
        <v>358</v>
      </c>
      <c r="F252" s="130">
        <v>120622</v>
      </c>
      <c r="G252" s="148">
        <v>1398</v>
      </c>
      <c r="H252" s="117">
        <f t="shared" si="7"/>
        <v>122020</v>
      </c>
      <c r="I252" s="84"/>
      <c r="J252" s="83"/>
      <c r="M252" s="94"/>
      <c r="N252" s="81"/>
    </row>
    <row r="253" spans="1:13" s="53" customFormat="1" ht="45.75" customHeight="1">
      <c r="A253" s="261"/>
      <c r="B253" s="261"/>
      <c r="C253" s="261"/>
      <c r="D253" s="269"/>
      <c r="E253" s="161" t="s">
        <v>227</v>
      </c>
      <c r="F253" s="130">
        <v>93500</v>
      </c>
      <c r="G253" s="148"/>
      <c r="H253" s="117">
        <f t="shared" si="7"/>
        <v>93500</v>
      </c>
      <c r="I253" s="84"/>
      <c r="J253" s="84"/>
      <c r="M253" s="76"/>
    </row>
    <row r="254" spans="1:13" s="53" customFormat="1" ht="47.25" customHeight="1">
      <c r="A254" s="260"/>
      <c r="B254" s="260"/>
      <c r="C254" s="263"/>
      <c r="D254" s="236"/>
      <c r="E254" s="180" t="s">
        <v>135</v>
      </c>
      <c r="F254" s="146">
        <f>20000</f>
        <v>20000</v>
      </c>
      <c r="G254" s="148"/>
      <c r="H254" s="181">
        <f t="shared" si="7"/>
        <v>20000</v>
      </c>
      <c r="I254" s="84"/>
      <c r="J254" s="84"/>
      <c r="M254" s="76"/>
    </row>
    <row r="255" spans="1:13" s="53" customFormat="1" ht="31.5">
      <c r="A255" s="178"/>
      <c r="B255" s="178" t="s">
        <v>397</v>
      </c>
      <c r="C255" s="178"/>
      <c r="D255" s="179" t="s">
        <v>270</v>
      </c>
      <c r="E255" s="161"/>
      <c r="F255" s="134">
        <f>F256+F257</f>
        <v>24436</v>
      </c>
      <c r="G255" s="134">
        <f>G256+G257</f>
        <v>0</v>
      </c>
      <c r="H255" s="139">
        <f t="shared" si="7"/>
        <v>24436</v>
      </c>
      <c r="I255" s="83"/>
      <c r="J255" s="83"/>
      <c r="M255" s="76"/>
    </row>
    <row r="256" spans="1:13" s="53" customFormat="1" ht="48" customHeight="1" hidden="1">
      <c r="A256" s="184"/>
      <c r="B256" s="184" t="s">
        <v>416</v>
      </c>
      <c r="C256" s="184"/>
      <c r="D256" s="161" t="s">
        <v>417</v>
      </c>
      <c r="E256" s="160" t="s">
        <v>355</v>
      </c>
      <c r="F256" s="130"/>
      <c r="G256" s="117"/>
      <c r="H256" s="117">
        <f t="shared" si="7"/>
        <v>0</v>
      </c>
      <c r="I256" s="84"/>
      <c r="J256" s="83"/>
      <c r="M256" s="76"/>
    </row>
    <row r="257" spans="1:14" s="53" customFormat="1" ht="67.5" customHeight="1">
      <c r="A257" s="184"/>
      <c r="B257" s="184" t="s">
        <v>294</v>
      </c>
      <c r="C257" s="184" t="s">
        <v>160</v>
      </c>
      <c r="D257" s="161" t="s">
        <v>309</v>
      </c>
      <c r="E257" s="161" t="s">
        <v>132</v>
      </c>
      <c r="F257" s="130">
        <v>24436</v>
      </c>
      <c r="G257" s="143"/>
      <c r="H257" s="117">
        <f t="shared" si="7"/>
        <v>24436</v>
      </c>
      <c r="I257" s="84"/>
      <c r="J257" s="84"/>
      <c r="M257" s="94"/>
      <c r="N257" s="81"/>
    </row>
    <row r="258" spans="1:13" s="53" customFormat="1" ht="31.5">
      <c r="A258" s="178"/>
      <c r="B258" s="178" t="s">
        <v>401</v>
      </c>
      <c r="C258" s="178"/>
      <c r="D258" s="179" t="s">
        <v>272</v>
      </c>
      <c r="E258" s="161"/>
      <c r="F258" s="134">
        <f>F259+F260+F261+F262+F263+F264</f>
        <v>1925196</v>
      </c>
      <c r="G258" s="134">
        <f>G259+G260+G261+G262+G263+G264</f>
        <v>1213290</v>
      </c>
      <c r="H258" s="139">
        <f t="shared" si="7"/>
        <v>3138486</v>
      </c>
      <c r="I258" s="84"/>
      <c r="J258" s="84"/>
      <c r="M258" s="76"/>
    </row>
    <row r="259" spans="1:13" s="53" customFormat="1" ht="31.5" customHeight="1" hidden="1">
      <c r="A259" s="184"/>
      <c r="B259" s="184" t="s">
        <v>416</v>
      </c>
      <c r="C259" s="184"/>
      <c r="D259" s="161" t="s">
        <v>417</v>
      </c>
      <c r="E259" s="160" t="s">
        <v>355</v>
      </c>
      <c r="F259" s="130"/>
      <c r="G259" s="117"/>
      <c r="H259" s="117">
        <f t="shared" si="7"/>
        <v>0</v>
      </c>
      <c r="I259" s="84"/>
      <c r="J259" s="83"/>
      <c r="M259" s="76"/>
    </row>
    <row r="260" spans="1:13" s="53" customFormat="1" ht="47.25">
      <c r="A260" s="184"/>
      <c r="B260" s="184" t="s">
        <v>70</v>
      </c>
      <c r="C260" s="166" t="s">
        <v>189</v>
      </c>
      <c r="D260" s="161" t="s">
        <v>75</v>
      </c>
      <c r="E260" s="161" t="s">
        <v>114</v>
      </c>
      <c r="F260" s="130"/>
      <c r="G260" s="143">
        <v>887560</v>
      </c>
      <c r="H260" s="117">
        <f t="shared" si="7"/>
        <v>887560</v>
      </c>
      <c r="I260" s="84"/>
      <c r="J260" s="84"/>
      <c r="M260" s="76"/>
    </row>
    <row r="261" spans="1:14" s="53" customFormat="1" ht="47.25">
      <c r="A261" s="237"/>
      <c r="B261" s="238">
        <v>250404</v>
      </c>
      <c r="C261" s="258" t="s">
        <v>160</v>
      </c>
      <c r="D261" s="270" t="s">
        <v>309</v>
      </c>
      <c r="E261" s="161" t="s">
        <v>340</v>
      </c>
      <c r="F261" s="129">
        <v>189554</v>
      </c>
      <c r="G261" s="161"/>
      <c r="H261" s="117">
        <f t="shared" si="7"/>
        <v>189554</v>
      </c>
      <c r="I261" s="84"/>
      <c r="J261" s="83"/>
      <c r="M261" s="94"/>
      <c r="N261" s="81"/>
    </row>
    <row r="262" spans="1:13" s="53" customFormat="1" ht="47.25">
      <c r="A262" s="231"/>
      <c r="B262" s="229"/>
      <c r="C262" s="261"/>
      <c r="D262" s="271"/>
      <c r="E262" s="161" t="s">
        <v>462</v>
      </c>
      <c r="F262" s="129">
        <v>1735642</v>
      </c>
      <c r="G262" s="148">
        <v>253730</v>
      </c>
      <c r="H262" s="117">
        <f t="shared" si="7"/>
        <v>1989372</v>
      </c>
      <c r="I262" s="84"/>
      <c r="J262" s="84"/>
      <c r="M262" s="76"/>
    </row>
    <row r="263" spans="1:13" s="53" customFormat="1" ht="51" customHeight="1" hidden="1">
      <c r="A263" s="231"/>
      <c r="B263" s="229"/>
      <c r="C263" s="261"/>
      <c r="D263" s="271"/>
      <c r="E263" s="161" t="s">
        <v>568</v>
      </c>
      <c r="F263" s="129"/>
      <c r="G263" s="148"/>
      <c r="H263" s="117">
        <f t="shared" si="7"/>
        <v>0</v>
      </c>
      <c r="I263" s="84"/>
      <c r="J263" s="84"/>
      <c r="M263" s="76"/>
    </row>
    <row r="264" spans="1:13" s="53" customFormat="1" ht="68.25" customHeight="1">
      <c r="A264" s="231"/>
      <c r="B264" s="229"/>
      <c r="C264" s="261"/>
      <c r="D264" s="271"/>
      <c r="E264" s="161" t="s">
        <v>155</v>
      </c>
      <c r="F264" s="129"/>
      <c r="G264" s="148">
        <f>G265+G266</f>
        <v>72000</v>
      </c>
      <c r="H264" s="117">
        <f t="shared" si="7"/>
        <v>72000</v>
      </c>
      <c r="I264" s="84"/>
      <c r="J264" s="84"/>
      <c r="M264" s="76"/>
    </row>
    <row r="265" spans="1:13" s="53" customFormat="1" ht="15.75">
      <c r="A265" s="231"/>
      <c r="B265" s="229"/>
      <c r="C265" s="261"/>
      <c r="D265" s="271"/>
      <c r="E265" s="205" t="s">
        <v>360</v>
      </c>
      <c r="F265" s="129"/>
      <c r="G265" s="148">
        <v>38000</v>
      </c>
      <c r="H265" s="117">
        <f t="shared" si="7"/>
        <v>38000</v>
      </c>
      <c r="I265" s="84"/>
      <c r="J265" s="84"/>
      <c r="M265" s="76"/>
    </row>
    <row r="266" spans="1:13" s="53" customFormat="1" ht="15.75">
      <c r="A266" s="232"/>
      <c r="B266" s="230"/>
      <c r="C266" s="263"/>
      <c r="D266" s="272"/>
      <c r="E266" s="118" t="s">
        <v>358</v>
      </c>
      <c r="F266" s="129"/>
      <c r="G266" s="148">
        <v>34000</v>
      </c>
      <c r="H266" s="117">
        <f t="shared" si="7"/>
        <v>34000</v>
      </c>
      <c r="I266" s="84"/>
      <c r="J266" s="84"/>
      <c r="M266" s="76"/>
    </row>
    <row r="267" spans="1:13" s="53" customFormat="1" ht="31.5" customHeight="1" hidden="1">
      <c r="A267" s="178"/>
      <c r="B267" s="178" t="s">
        <v>405</v>
      </c>
      <c r="C267" s="191"/>
      <c r="D267" s="179" t="s">
        <v>276</v>
      </c>
      <c r="E267" s="179"/>
      <c r="F267" s="134">
        <f>F268+F269</f>
        <v>0</v>
      </c>
      <c r="G267" s="134">
        <f>G268+G269</f>
        <v>0</v>
      </c>
      <c r="H267" s="134">
        <f aca="true" t="shared" si="8" ref="H267:H321">F267+G267</f>
        <v>0</v>
      </c>
      <c r="I267" s="83"/>
      <c r="J267" s="83"/>
      <c r="M267" s="76"/>
    </row>
    <row r="268" spans="1:13" s="53" customFormat="1" ht="31.5" customHeight="1" hidden="1">
      <c r="A268" s="184"/>
      <c r="B268" s="184" t="s">
        <v>416</v>
      </c>
      <c r="C268" s="184"/>
      <c r="D268" s="161" t="s">
        <v>417</v>
      </c>
      <c r="E268" s="160" t="s">
        <v>355</v>
      </c>
      <c r="F268" s="130"/>
      <c r="G268" s="130"/>
      <c r="H268" s="130">
        <f t="shared" si="8"/>
        <v>0</v>
      </c>
      <c r="I268" s="84"/>
      <c r="J268" s="83"/>
      <c r="M268" s="76"/>
    </row>
    <row r="269" spans="1:13" s="53" customFormat="1" ht="31.5" customHeight="1" hidden="1">
      <c r="A269" s="184"/>
      <c r="B269" s="184" t="s">
        <v>258</v>
      </c>
      <c r="C269" s="184"/>
      <c r="D269" s="161" t="s">
        <v>259</v>
      </c>
      <c r="E269" s="160" t="s">
        <v>456</v>
      </c>
      <c r="F269" s="130"/>
      <c r="G269" s="117"/>
      <c r="H269" s="130">
        <f t="shared" si="8"/>
        <v>0</v>
      </c>
      <c r="I269" s="84"/>
      <c r="J269" s="83"/>
      <c r="M269" s="76"/>
    </row>
    <row r="270" spans="1:13" s="53" customFormat="1" ht="31.5">
      <c r="A270" s="178"/>
      <c r="B270" s="178" t="s">
        <v>402</v>
      </c>
      <c r="C270" s="178"/>
      <c r="D270" s="179" t="s">
        <v>273</v>
      </c>
      <c r="E270" s="161"/>
      <c r="F270" s="134">
        <f>F271+F273+F274+F277</f>
        <v>327500</v>
      </c>
      <c r="G270" s="134">
        <f>G271+G273+G274+G277</f>
        <v>41427238</v>
      </c>
      <c r="H270" s="134">
        <f t="shared" si="8"/>
        <v>41754738</v>
      </c>
      <c r="I270" s="83"/>
      <c r="J270" s="83"/>
      <c r="M270" s="76"/>
    </row>
    <row r="271" spans="1:13" s="53" customFormat="1" ht="47.25" customHeight="1" hidden="1">
      <c r="A271" s="184"/>
      <c r="B271" s="184" t="s">
        <v>416</v>
      </c>
      <c r="C271" s="184"/>
      <c r="D271" s="161" t="s">
        <v>417</v>
      </c>
      <c r="E271" s="160" t="s">
        <v>355</v>
      </c>
      <c r="F271" s="130"/>
      <c r="G271" s="117"/>
      <c r="H271" s="130">
        <f t="shared" si="8"/>
        <v>0</v>
      </c>
      <c r="I271" s="84"/>
      <c r="J271" s="83"/>
      <c r="M271" s="76"/>
    </row>
    <row r="272" spans="1:13" s="53" customFormat="1" ht="69" customHeight="1" hidden="1">
      <c r="A272" s="184"/>
      <c r="B272" s="184" t="s">
        <v>301</v>
      </c>
      <c r="C272" s="184"/>
      <c r="D272" s="161" t="s">
        <v>302</v>
      </c>
      <c r="E272" s="161"/>
      <c r="F272" s="130"/>
      <c r="G272" s="117">
        <f>2000000-2000000</f>
        <v>0</v>
      </c>
      <c r="H272" s="130">
        <f t="shared" si="8"/>
        <v>0</v>
      </c>
      <c r="I272" s="84"/>
      <c r="J272" s="83"/>
      <c r="M272" s="76"/>
    </row>
    <row r="273" spans="1:13" s="53" customFormat="1" ht="68.25" customHeight="1">
      <c r="A273" s="166"/>
      <c r="B273" s="166" t="s">
        <v>338</v>
      </c>
      <c r="C273" s="166" t="s">
        <v>169</v>
      </c>
      <c r="D273" s="173" t="s">
        <v>339</v>
      </c>
      <c r="E273" s="161" t="s">
        <v>368</v>
      </c>
      <c r="F273" s="130">
        <v>60000</v>
      </c>
      <c r="G273" s="117"/>
      <c r="H273" s="130">
        <f t="shared" si="8"/>
        <v>60000</v>
      </c>
      <c r="I273" s="84"/>
      <c r="J273" s="83"/>
      <c r="M273" s="76"/>
    </row>
    <row r="274" spans="1:13" s="53" customFormat="1" ht="47.25" customHeight="1">
      <c r="A274" s="173"/>
      <c r="B274" s="234">
        <v>200700</v>
      </c>
      <c r="C274" s="258" t="s">
        <v>168</v>
      </c>
      <c r="D274" s="268" t="s">
        <v>375</v>
      </c>
      <c r="E274" s="160" t="s">
        <v>134</v>
      </c>
      <c r="F274" s="132">
        <f>F275+F276</f>
        <v>267500</v>
      </c>
      <c r="G274" s="132">
        <f>G275+G276</f>
        <v>12128474</v>
      </c>
      <c r="H274" s="130">
        <f>F274+G274</f>
        <v>12395974</v>
      </c>
      <c r="I274" s="84"/>
      <c r="J274" s="83"/>
      <c r="M274" s="76"/>
    </row>
    <row r="275" spans="1:13" s="53" customFormat="1" ht="28.5" customHeight="1">
      <c r="A275" s="172"/>
      <c r="B275" s="235"/>
      <c r="C275" s="261"/>
      <c r="D275" s="273"/>
      <c r="E275" s="205" t="s">
        <v>360</v>
      </c>
      <c r="F275" s="132">
        <v>224834</v>
      </c>
      <c r="G275" s="117">
        <v>10759257</v>
      </c>
      <c r="H275" s="130">
        <f>F275+G275</f>
        <v>10984091</v>
      </c>
      <c r="I275" s="84"/>
      <c r="J275" s="83"/>
      <c r="M275" s="76"/>
    </row>
    <row r="276" spans="1:13" s="53" customFormat="1" ht="27" customHeight="1">
      <c r="A276" s="186"/>
      <c r="B276" s="212"/>
      <c r="C276" s="263"/>
      <c r="D276" s="254"/>
      <c r="E276" s="118" t="s">
        <v>358</v>
      </c>
      <c r="F276" s="132">
        <v>42666</v>
      </c>
      <c r="G276" s="117">
        <v>1369217</v>
      </c>
      <c r="H276" s="130">
        <f>F276+G276</f>
        <v>1411883</v>
      </c>
      <c r="I276" s="84"/>
      <c r="J276" s="83"/>
      <c r="M276" s="76"/>
    </row>
    <row r="277" spans="1:13" s="53" customFormat="1" ht="51.75" customHeight="1">
      <c r="A277" s="186"/>
      <c r="B277" s="198">
        <v>240601</v>
      </c>
      <c r="C277" s="184" t="s">
        <v>169</v>
      </c>
      <c r="D277" s="186" t="s">
        <v>323</v>
      </c>
      <c r="E277" s="160" t="s">
        <v>134</v>
      </c>
      <c r="F277" s="132">
        <f>66166-66166</f>
        <v>0</v>
      </c>
      <c r="G277" s="117">
        <f>29232598+66166</f>
        <v>29298764</v>
      </c>
      <c r="H277" s="130">
        <f>F277+G277</f>
        <v>29298764</v>
      </c>
      <c r="I277" s="84"/>
      <c r="J277" s="83"/>
      <c r="M277" s="76"/>
    </row>
    <row r="278" spans="1:13" s="53" customFormat="1" ht="47.25">
      <c r="A278" s="191"/>
      <c r="B278" s="191" t="s">
        <v>400</v>
      </c>
      <c r="C278" s="191"/>
      <c r="D278" s="193" t="s">
        <v>274</v>
      </c>
      <c r="E278" s="161"/>
      <c r="F278" s="134">
        <f>F279+F280+F281+F283+F284+F287+F292+F293+F296+F295+F290+F291+F282+F294</f>
        <v>36033000</v>
      </c>
      <c r="G278" s="134">
        <f>G279+G280+G281+G283+G284+G287+G292+G293+G296+G295+G290+G291+G282+G294</f>
        <v>48134058</v>
      </c>
      <c r="H278" s="134">
        <f>H279+H280+H281+H283+H284+H287+H292+H293+H296+H295+H290+H291+H282+H294</f>
        <v>84167058</v>
      </c>
      <c r="I278" s="83"/>
      <c r="J278" s="83"/>
      <c r="M278" s="76"/>
    </row>
    <row r="279" spans="1:13" s="53" customFormat="1" ht="54.75" customHeight="1">
      <c r="A279" s="184"/>
      <c r="B279" s="184" t="s">
        <v>416</v>
      </c>
      <c r="C279" s="184" t="s">
        <v>157</v>
      </c>
      <c r="D279" s="161" t="s">
        <v>417</v>
      </c>
      <c r="E279" s="160" t="s">
        <v>142</v>
      </c>
      <c r="F279" s="130"/>
      <c r="G279" s="143">
        <v>6986</v>
      </c>
      <c r="H279" s="130">
        <f t="shared" si="8"/>
        <v>6986</v>
      </c>
      <c r="I279" s="84"/>
      <c r="J279" s="84"/>
      <c r="M279" s="76"/>
    </row>
    <row r="280" spans="1:13" s="53" customFormat="1" ht="77.25" customHeight="1" hidden="1">
      <c r="A280" s="184"/>
      <c r="B280" s="184" t="s">
        <v>311</v>
      </c>
      <c r="C280" s="184"/>
      <c r="D280" s="161" t="s">
        <v>312</v>
      </c>
      <c r="E280" s="161" t="s">
        <v>537</v>
      </c>
      <c r="F280" s="130"/>
      <c r="G280" s="143"/>
      <c r="H280" s="130">
        <f t="shared" si="8"/>
        <v>0</v>
      </c>
      <c r="I280" s="84"/>
      <c r="J280" s="84"/>
      <c r="M280" s="76"/>
    </row>
    <row r="281" spans="1:14" s="53" customFormat="1" ht="63">
      <c r="A281" s="184"/>
      <c r="B281" s="184" t="s">
        <v>248</v>
      </c>
      <c r="C281" s="184" t="s">
        <v>158</v>
      </c>
      <c r="D281" s="161" t="s">
        <v>249</v>
      </c>
      <c r="E281" s="161" t="s">
        <v>232</v>
      </c>
      <c r="F281" s="130">
        <v>2700000</v>
      </c>
      <c r="G281" s="117">
        <v>143525</v>
      </c>
      <c r="H281" s="130">
        <f t="shared" si="8"/>
        <v>2843525</v>
      </c>
      <c r="I281" s="84"/>
      <c r="J281" s="83"/>
      <c r="M281" s="94"/>
      <c r="N281" s="81"/>
    </row>
    <row r="282" spans="1:14" s="53" customFormat="1" ht="78.75" customHeight="1" hidden="1">
      <c r="A282" s="184"/>
      <c r="B282" s="184" t="s">
        <v>460</v>
      </c>
      <c r="C282" s="184"/>
      <c r="D282" s="161" t="s">
        <v>461</v>
      </c>
      <c r="E282" s="161" t="s">
        <v>520</v>
      </c>
      <c r="F282" s="207"/>
      <c r="G282" s="208"/>
      <c r="H282" s="207">
        <f t="shared" si="8"/>
        <v>0</v>
      </c>
      <c r="I282" s="84"/>
      <c r="J282" s="83"/>
      <c r="M282" s="94"/>
      <c r="N282" s="81"/>
    </row>
    <row r="283" spans="1:14" s="53" customFormat="1" ht="81.75" customHeight="1">
      <c r="A283" s="184"/>
      <c r="B283" s="184" t="s">
        <v>299</v>
      </c>
      <c r="C283" s="184" t="s">
        <v>190</v>
      </c>
      <c r="D283" s="161" t="s">
        <v>300</v>
      </c>
      <c r="E283" s="161" t="s">
        <v>233</v>
      </c>
      <c r="F283" s="130">
        <v>30000000</v>
      </c>
      <c r="G283" s="143"/>
      <c r="H283" s="130">
        <f t="shared" si="8"/>
        <v>30000000</v>
      </c>
      <c r="I283" s="84"/>
      <c r="J283" s="84"/>
      <c r="M283" s="94"/>
      <c r="N283" s="81"/>
    </row>
    <row r="284" spans="1:13" s="53" customFormat="1" ht="78.75">
      <c r="A284" s="258"/>
      <c r="B284" s="258" t="s">
        <v>301</v>
      </c>
      <c r="C284" s="258" t="s">
        <v>159</v>
      </c>
      <c r="D284" s="266" t="s">
        <v>302</v>
      </c>
      <c r="E284" s="161" t="s">
        <v>233</v>
      </c>
      <c r="F284" s="130"/>
      <c r="G284" s="117">
        <f>G285+G286</f>
        <v>1965561</v>
      </c>
      <c r="H284" s="130">
        <f t="shared" si="8"/>
        <v>1965561</v>
      </c>
      <c r="I284" s="84"/>
      <c r="J284" s="83"/>
      <c r="M284" s="76"/>
    </row>
    <row r="285" spans="1:13" s="53" customFormat="1" ht="15.75">
      <c r="A285" s="261"/>
      <c r="B285" s="261"/>
      <c r="C285" s="261"/>
      <c r="D285" s="269"/>
      <c r="E285" s="205" t="s">
        <v>360</v>
      </c>
      <c r="F285" s="130"/>
      <c r="G285" s="117">
        <v>1939282</v>
      </c>
      <c r="H285" s="130">
        <f t="shared" si="8"/>
        <v>1939282</v>
      </c>
      <c r="I285" s="84"/>
      <c r="J285" s="83"/>
      <c r="M285" s="76"/>
    </row>
    <row r="286" spans="1:13" s="53" customFormat="1" ht="15.75">
      <c r="A286" s="261"/>
      <c r="B286" s="261"/>
      <c r="C286" s="261"/>
      <c r="D286" s="269"/>
      <c r="E286" s="118" t="s">
        <v>358</v>
      </c>
      <c r="F286" s="130"/>
      <c r="G286" s="117">
        <v>26279</v>
      </c>
      <c r="H286" s="130">
        <f t="shared" si="8"/>
        <v>26279</v>
      </c>
      <c r="I286" s="84"/>
      <c r="J286" s="83"/>
      <c r="M286" s="76"/>
    </row>
    <row r="287" spans="1:13" s="53" customFormat="1" ht="63">
      <c r="A287" s="261"/>
      <c r="B287" s="261"/>
      <c r="C287" s="261"/>
      <c r="D287" s="269"/>
      <c r="E287" s="161" t="s">
        <v>537</v>
      </c>
      <c r="F287" s="117"/>
      <c r="G287" s="117">
        <f>G288+G289</f>
        <v>688823</v>
      </c>
      <c r="H287" s="130">
        <f t="shared" si="8"/>
        <v>688823</v>
      </c>
      <c r="I287" s="84"/>
      <c r="J287" s="83"/>
      <c r="M287" s="76"/>
    </row>
    <row r="288" spans="1:13" s="53" customFormat="1" ht="15.75">
      <c r="A288" s="165"/>
      <c r="B288" s="261"/>
      <c r="C288" s="261"/>
      <c r="D288" s="199"/>
      <c r="E288" s="205" t="s">
        <v>360</v>
      </c>
      <c r="F288" s="130"/>
      <c r="G288" s="117">
        <f>(264787)</f>
        <v>264787</v>
      </c>
      <c r="H288" s="130">
        <f t="shared" si="8"/>
        <v>264787</v>
      </c>
      <c r="I288" s="84"/>
      <c r="J288" s="83"/>
      <c r="M288" s="76"/>
    </row>
    <row r="289" spans="1:13" s="53" customFormat="1" ht="15.75">
      <c r="A289" s="165"/>
      <c r="B289" s="261"/>
      <c r="C289" s="261"/>
      <c r="D289" s="199"/>
      <c r="E289" s="160" t="s">
        <v>358</v>
      </c>
      <c r="F289" s="130"/>
      <c r="G289" s="117">
        <v>424036</v>
      </c>
      <c r="H289" s="130">
        <f t="shared" si="8"/>
        <v>424036</v>
      </c>
      <c r="I289" s="84"/>
      <c r="J289" s="83"/>
      <c r="M289" s="76"/>
    </row>
    <row r="290" spans="1:13" s="53" customFormat="1" ht="63.75" customHeight="1">
      <c r="A290" s="165"/>
      <c r="B290" s="261"/>
      <c r="C290" s="261"/>
      <c r="D290" s="199"/>
      <c r="E290" s="147" t="s">
        <v>195</v>
      </c>
      <c r="F290" s="130"/>
      <c r="G290" s="117">
        <v>300000</v>
      </c>
      <c r="H290" s="130">
        <f t="shared" si="8"/>
        <v>300000</v>
      </c>
      <c r="I290" s="84"/>
      <c r="J290" s="83"/>
      <c r="M290" s="76"/>
    </row>
    <row r="291" spans="1:13" s="53" customFormat="1" ht="51" customHeight="1">
      <c r="A291" s="165"/>
      <c r="B291" s="263"/>
      <c r="C291" s="263"/>
      <c r="D291" s="199"/>
      <c r="E291" s="147" t="s">
        <v>156</v>
      </c>
      <c r="F291" s="130"/>
      <c r="G291" s="117">
        <f>(1450388)</f>
        <v>1450388</v>
      </c>
      <c r="H291" s="130">
        <f t="shared" si="8"/>
        <v>1450388</v>
      </c>
      <c r="I291" s="84"/>
      <c r="J291" s="83"/>
      <c r="M291" s="76"/>
    </row>
    <row r="292" spans="1:13" s="53" customFormat="1" ht="70.5" customHeight="1">
      <c r="A292" s="262"/>
      <c r="B292" s="265" t="s">
        <v>315</v>
      </c>
      <c r="C292" s="258" t="s">
        <v>159</v>
      </c>
      <c r="D292" s="264" t="s">
        <v>478</v>
      </c>
      <c r="E292" s="161" t="s">
        <v>233</v>
      </c>
      <c r="F292" s="130"/>
      <c r="G292" s="117">
        <v>25174480</v>
      </c>
      <c r="H292" s="130">
        <f t="shared" si="8"/>
        <v>25174480</v>
      </c>
      <c r="I292" s="84"/>
      <c r="J292" s="83"/>
      <c r="M292" s="76"/>
    </row>
    <row r="293" spans="1:13" s="53" customFormat="1" ht="63">
      <c r="A293" s="262"/>
      <c r="B293" s="265"/>
      <c r="C293" s="263"/>
      <c r="D293" s="264"/>
      <c r="E293" s="161" t="s">
        <v>537</v>
      </c>
      <c r="F293" s="147"/>
      <c r="G293" s="117">
        <f>650000+(5218000)</f>
        <v>5868000</v>
      </c>
      <c r="H293" s="130">
        <f t="shared" si="8"/>
        <v>5868000</v>
      </c>
      <c r="I293" s="84"/>
      <c r="J293" s="83"/>
      <c r="M293" s="76"/>
    </row>
    <row r="294" spans="1:13" s="53" customFormat="1" ht="52.5" customHeight="1" hidden="1">
      <c r="A294" s="166"/>
      <c r="B294" s="167" t="s">
        <v>458</v>
      </c>
      <c r="C294" s="165" t="s">
        <v>167</v>
      </c>
      <c r="D294" s="205" t="s">
        <v>459</v>
      </c>
      <c r="E294" s="161" t="s">
        <v>204</v>
      </c>
      <c r="F294" s="130">
        <f>2754000-2754000</f>
        <v>0</v>
      </c>
      <c r="G294" s="117"/>
      <c r="H294" s="130">
        <f>G294+F294</f>
        <v>0</v>
      </c>
      <c r="I294" s="227"/>
      <c r="J294" s="83"/>
      <c r="M294" s="76"/>
    </row>
    <row r="295" spans="1:14" s="53" customFormat="1" ht="70.5" customHeight="1">
      <c r="A295" s="258"/>
      <c r="B295" s="258" t="s">
        <v>468</v>
      </c>
      <c r="C295" s="258" t="s">
        <v>191</v>
      </c>
      <c r="D295" s="266" t="s">
        <v>469</v>
      </c>
      <c r="E295" s="147" t="s">
        <v>195</v>
      </c>
      <c r="F295" s="130">
        <f>833000</f>
        <v>833000</v>
      </c>
      <c r="G295" s="117"/>
      <c r="H295" s="130">
        <f t="shared" si="8"/>
        <v>833000</v>
      </c>
      <c r="I295" s="84"/>
      <c r="J295" s="83"/>
      <c r="M295" s="94"/>
      <c r="N295" s="81"/>
    </row>
    <row r="296" spans="1:13" s="53" customFormat="1" ht="69.75" customHeight="1">
      <c r="A296" s="261"/>
      <c r="B296" s="261"/>
      <c r="C296" s="263"/>
      <c r="D296" s="269"/>
      <c r="E296" s="161" t="s">
        <v>537</v>
      </c>
      <c r="F296" s="130">
        <v>2500000</v>
      </c>
      <c r="G296" s="117">
        <f>8536295+(4000000)</f>
        <v>12536295</v>
      </c>
      <c r="H296" s="130">
        <f t="shared" si="8"/>
        <v>15036295</v>
      </c>
      <c r="I296" s="84"/>
      <c r="J296" s="83"/>
      <c r="M296" s="76"/>
    </row>
    <row r="297" spans="1:13" s="53" customFormat="1" ht="65.25" customHeight="1">
      <c r="A297" s="178"/>
      <c r="B297" s="178" t="s">
        <v>395</v>
      </c>
      <c r="C297" s="178"/>
      <c r="D297" s="179" t="s">
        <v>269</v>
      </c>
      <c r="E297" s="161"/>
      <c r="F297" s="134">
        <f>F298+F299+F302</f>
        <v>8010339</v>
      </c>
      <c r="G297" s="134">
        <f>G298+G299+G302</f>
        <v>1720687</v>
      </c>
      <c r="H297" s="139">
        <f t="shared" si="8"/>
        <v>9731026</v>
      </c>
      <c r="I297" s="83"/>
      <c r="J297" s="83"/>
      <c r="M297" s="76"/>
    </row>
    <row r="298" spans="1:13" s="53" customFormat="1" ht="54" customHeight="1" hidden="1">
      <c r="A298" s="166"/>
      <c r="B298" s="166" t="s">
        <v>416</v>
      </c>
      <c r="C298" s="166"/>
      <c r="D298" s="173" t="s">
        <v>417</v>
      </c>
      <c r="E298" s="160" t="s">
        <v>355</v>
      </c>
      <c r="F298" s="130"/>
      <c r="G298" s="148"/>
      <c r="H298" s="117">
        <f t="shared" si="8"/>
        <v>0</v>
      </c>
      <c r="I298" s="84"/>
      <c r="J298" s="83"/>
      <c r="M298" s="76"/>
    </row>
    <row r="299" spans="1:14" s="53" customFormat="1" ht="66.75" customHeight="1">
      <c r="A299" s="166"/>
      <c r="B299" s="275" t="s">
        <v>305</v>
      </c>
      <c r="C299" s="258" t="s">
        <v>192</v>
      </c>
      <c r="D299" s="266" t="s">
        <v>306</v>
      </c>
      <c r="E299" s="160" t="s">
        <v>138</v>
      </c>
      <c r="F299" s="130">
        <f>F300+F301</f>
        <v>4525354</v>
      </c>
      <c r="G299" s="130">
        <f>G300+G301</f>
        <v>1339177</v>
      </c>
      <c r="H299" s="117">
        <f t="shared" si="8"/>
        <v>5864531</v>
      </c>
      <c r="I299" s="83"/>
      <c r="J299" s="83"/>
      <c r="M299" s="94"/>
      <c r="N299" s="81"/>
    </row>
    <row r="300" spans="1:14" s="53" customFormat="1" ht="24" customHeight="1">
      <c r="A300" s="165"/>
      <c r="B300" s="276"/>
      <c r="C300" s="261"/>
      <c r="D300" s="269"/>
      <c r="E300" s="205" t="s">
        <v>360</v>
      </c>
      <c r="F300" s="130">
        <f>4409512+(115807)</f>
        <v>4525319</v>
      </c>
      <c r="G300" s="148">
        <f>1746512+82800-454435-35700</f>
        <v>1339177</v>
      </c>
      <c r="H300" s="117">
        <f t="shared" si="8"/>
        <v>5864496</v>
      </c>
      <c r="I300" s="83"/>
      <c r="J300" s="83"/>
      <c r="M300" s="94"/>
      <c r="N300" s="81"/>
    </row>
    <row r="301" spans="1:14" s="53" customFormat="1" ht="21" customHeight="1">
      <c r="A301" s="165"/>
      <c r="B301" s="276"/>
      <c r="C301" s="263"/>
      <c r="D301" s="269"/>
      <c r="E301" s="118" t="s">
        <v>358</v>
      </c>
      <c r="F301" s="130">
        <v>35</v>
      </c>
      <c r="G301" s="148"/>
      <c r="H301" s="117">
        <f t="shared" si="8"/>
        <v>35</v>
      </c>
      <c r="I301" s="83"/>
      <c r="J301" s="83"/>
      <c r="M301" s="94"/>
      <c r="N301" s="81"/>
    </row>
    <row r="302" spans="1:14" s="53" customFormat="1" ht="63">
      <c r="A302" s="166"/>
      <c r="B302" s="275" t="s">
        <v>307</v>
      </c>
      <c r="C302" s="258" t="s">
        <v>192</v>
      </c>
      <c r="D302" s="266" t="s">
        <v>308</v>
      </c>
      <c r="E302" s="160" t="s">
        <v>138</v>
      </c>
      <c r="F302" s="130">
        <f>F303+F304</f>
        <v>3484985</v>
      </c>
      <c r="G302" s="130">
        <f>G303+G304</f>
        <v>381510</v>
      </c>
      <c r="H302" s="117">
        <f t="shared" si="8"/>
        <v>3866495</v>
      </c>
      <c r="I302" s="83"/>
      <c r="J302" s="83"/>
      <c r="M302" s="94"/>
      <c r="N302" s="81"/>
    </row>
    <row r="303" spans="1:13" s="53" customFormat="1" ht="21" customHeight="1">
      <c r="A303" s="165"/>
      <c r="B303" s="276"/>
      <c r="C303" s="261"/>
      <c r="D303" s="269"/>
      <c r="E303" s="205" t="s">
        <v>360</v>
      </c>
      <c r="F303" s="130">
        <f>3068468+(359338)</f>
        <v>3427806</v>
      </c>
      <c r="G303" s="148">
        <f>274720+106790</f>
        <v>381510</v>
      </c>
      <c r="H303" s="117">
        <f t="shared" si="8"/>
        <v>3809316</v>
      </c>
      <c r="I303" s="84"/>
      <c r="J303" s="84"/>
      <c r="M303" s="76"/>
    </row>
    <row r="304" spans="1:13" s="53" customFormat="1" ht="21.75" customHeight="1">
      <c r="A304" s="169"/>
      <c r="B304" s="277"/>
      <c r="C304" s="263"/>
      <c r="D304" s="267"/>
      <c r="E304" s="118" t="s">
        <v>358</v>
      </c>
      <c r="F304" s="130">
        <v>57179</v>
      </c>
      <c r="G304" s="148"/>
      <c r="H304" s="117">
        <f t="shared" si="8"/>
        <v>57179</v>
      </c>
      <c r="I304" s="84"/>
      <c r="J304" s="84"/>
      <c r="M304" s="76"/>
    </row>
    <row r="305" spans="1:13" s="53" customFormat="1" ht="31.5">
      <c r="A305" s="191"/>
      <c r="B305" s="191" t="s">
        <v>404</v>
      </c>
      <c r="C305" s="191"/>
      <c r="D305" s="193" t="s">
        <v>275</v>
      </c>
      <c r="E305" s="161"/>
      <c r="F305" s="134">
        <f>F306+F307+F310+F313</f>
        <v>6090</v>
      </c>
      <c r="G305" s="134">
        <f>G306+G307+G310+G313</f>
        <v>16474982</v>
      </c>
      <c r="H305" s="134">
        <f t="shared" si="8"/>
        <v>16481072</v>
      </c>
      <c r="I305" s="83"/>
      <c r="J305" s="83"/>
      <c r="M305" s="76"/>
    </row>
    <row r="306" spans="1:13" s="53" customFormat="1" ht="31.5">
      <c r="A306" s="166"/>
      <c r="B306" s="166" t="s">
        <v>416</v>
      </c>
      <c r="C306" s="166" t="s">
        <v>157</v>
      </c>
      <c r="D306" s="173" t="s">
        <v>417</v>
      </c>
      <c r="E306" s="160" t="s">
        <v>139</v>
      </c>
      <c r="F306" s="130"/>
      <c r="G306" s="130">
        <v>158701</v>
      </c>
      <c r="H306" s="130">
        <f t="shared" si="8"/>
        <v>158701</v>
      </c>
      <c r="I306" s="84"/>
      <c r="J306" s="83"/>
      <c r="M306" s="76"/>
    </row>
    <row r="307" spans="1:13" s="53" customFormat="1" ht="54" customHeight="1">
      <c r="A307" s="166"/>
      <c r="B307" s="275" t="s">
        <v>301</v>
      </c>
      <c r="C307" s="258" t="s">
        <v>159</v>
      </c>
      <c r="D307" s="266" t="s">
        <v>302</v>
      </c>
      <c r="E307" s="160" t="s">
        <v>145</v>
      </c>
      <c r="F307" s="132"/>
      <c r="G307" s="148">
        <f>G308+G309</f>
        <v>7178541</v>
      </c>
      <c r="H307" s="130">
        <f t="shared" si="8"/>
        <v>7178541</v>
      </c>
      <c r="I307" s="84"/>
      <c r="J307" s="83"/>
      <c r="M307" s="76"/>
    </row>
    <row r="308" spans="1:13" s="53" customFormat="1" ht="15.75">
      <c r="A308" s="165"/>
      <c r="B308" s="276"/>
      <c r="C308" s="261"/>
      <c r="D308" s="269"/>
      <c r="E308" s="205" t="s">
        <v>360</v>
      </c>
      <c r="F308" s="132"/>
      <c r="G308" s="148">
        <v>7177717</v>
      </c>
      <c r="H308" s="130">
        <f t="shared" si="8"/>
        <v>7177717</v>
      </c>
      <c r="I308" s="84"/>
      <c r="J308" s="83"/>
      <c r="M308" s="76"/>
    </row>
    <row r="309" spans="1:13" s="53" customFormat="1" ht="15.75">
      <c r="A309" s="165"/>
      <c r="B309" s="276"/>
      <c r="C309" s="263"/>
      <c r="D309" s="269"/>
      <c r="E309" s="118" t="s">
        <v>358</v>
      </c>
      <c r="F309" s="132"/>
      <c r="G309" s="148">
        <v>824</v>
      </c>
      <c r="H309" s="130">
        <f t="shared" si="8"/>
        <v>824</v>
      </c>
      <c r="I309" s="84"/>
      <c r="J309" s="83"/>
      <c r="M309" s="76"/>
    </row>
    <row r="310" spans="1:13" s="53" customFormat="1" ht="56.25" customHeight="1">
      <c r="A310" s="166"/>
      <c r="B310" s="275" t="s">
        <v>316</v>
      </c>
      <c r="C310" s="258" t="s">
        <v>193</v>
      </c>
      <c r="D310" s="266" t="s">
        <v>317</v>
      </c>
      <c r="E310" s="160" t="s">
        <v>146</v>
      </c>
      <c r="F310" s="132"/>
      <c r="G310" s="117">
        <f>G311+G312</f>
        <v>9137740</v>
      </c>
      <c r="H310" s="130">
        <f t="shared" si="8"/>
        <v>9137740</v>
      </c>
      <c r="I310" s="84"/>
      <c r="J310" s="83"/>
      <c r="M310" s="76"/>
    </row>
    <row r="311" spans="1:13" s="53" customFormat="1" ht="20.25" customHeight="1">
      <c r="A311" s="165"/>
      <c r="B311" s="276"/>
      <c r="C311" s="261"/>
      <c r="D311" s="269"/>
      <c r="E311" s="205" t="s">
        <v>360</v>
      </c>
      <c r="F311" s="132"/>
      <c r="G311" s="117">
        <v>9000057</v>
      </c>
      <c r="H311" s="130">
        <f t="shared" si="8"/>
        <v>9000057</v>
      </c>
      <c r="I311" s="84"/>
      <c r="J311" s="83"/>
      <c r="M311" s="76"/>
    </row>
    <row r="312" spans="1:13" s="53" customFormat="1" ht="30" customHeight="1">
      <c r="A312" s="169"/>
      <c r="B312" s="277"/>
      <c r="C312" s="263"/>
      <c r="D312" s="267"/>
      <c r="E312" s="118" t="s">
        <v>358</v>
      </c>
      <c r="F312" s="132"/>
      <c r="G312" s="117">
        <v>137683</v>
      </c>
      <c r="H312" s="130">
        <f t="shared" si="8"/>
        <v>137683</v>
      </c>
      <c r="I312" s="84"/>
      <c r="J312" s="83"/>
      <c r="M312" s="76"/>
    </row>
    <row r="313" spans="1:13" s="53" customFormat="1" ht="53.25" customHeight="1">
      <c r="A313" s="169"/>
      <c r="B313" s="169" t="s">
        <v>294</v>
      </c>
      <c r="C313" s="169" t="s">
        <v>160</v>
      </c>
      <c r="D313" s="186" t="s">
        <v>309</v>
      </c>
      <c r="E313" s="161" t="s">
        <v>154</v>
      </c>
      <c r="F313" s="130">
        <v>6090</v>
      </c>
      <c r="G313" s="117"/>
      <c r="H313" s="130">
        <f t="shared" si="8"/>
        <v>6090</v>
      </c>
      <c r="I313" s="84"/>
      <c r="J313" s="84"/>
      <c r="M313" s="76"/>
    </row>
    <row r="314" spans="1:13" s="53" customFormat="1" ht="46.5" customHeight="1">
      <c r="A314" s="178"/>
      <c r="B314" s="178" t="s">
        <v>403</v>
      </c>
      <c r="C314" s="178"/>
      <c r="D314" s="179" t="s">
        <v>254</v>
      </c>
      <c r="E314" s="161"/>
      <c r="F314" s="134">
        <f>F315+F316+F318+F317</f>
        <v>40528</v>
      </c>
      <c r="G314" s="134">
        <f>G315+G316+G318+G317</f>
        <v>0</v>
      </c>
      <c r="H314" s="139">
        <f t="shared" si="8"/>
        <v>40528</v>
      </c>
      <c r="I314" s="84"/>
      <c r="J314" s="84"/>
      <c r="M314" s="76"/>
    </row>
    <row r="315" spans="1:13" s="53" customFormat="1" ht="46.5" customHeight="1" hidden="1">
      <c r="A315" s="258"/>
      <c r="B315" s="258" t="s">
        <v>416</v>
      </c>
      <c r="C315" s="166"/>
      <c r="D315" s="266" t="s">
        <v>417</v>
      </c>
      <c r="E315" s="160" t="s">
        <v>355</v>
      </c>
      <c r="F315" s="129"/>
      <c r="G315" s="117"/>
      <c r="H315" s="117">
        <f t="shared" si="8"/>
        <v>0</v>
      </c>
      <c r="I315" s="84"/>
      <c r="J315" s="83"/>
      <c r="M315" s="76"/>
    </row>
    <row r="316" spans="1:13" s="53" customFormat="1" ht="63.75" customHeight="1">
      <c r="A316" s="261"/>
      <c r="B316" s="261"/>
      <c r="C316" s="165" t="s">
        <v>157</v>
      </c>
      <c r="D316" s="269"/>
      <c r="E316" s="173" t="s">
        <v>132</v>
      </c>
      <c r="F316" s="157">
        <v>478</v>
      </c>
      <c r="G316" s="200"/>
      <c r="H316" s="196">
        <f t="shared" si="8"/>
        <v>478</v>
      </c>
      <c r="I316" s="84"/>
      <c r="J316" s="83"/>
      <c r="M316" s="76"/>
    </row>
    <row r="317" spans="1:13" s="53" customFormat="1" ht="63.75" customHeight="1" hidden="1">
      <c r="A317" s="184"/>
      <c r="B317" s="184"/>
      <c r="C317" s="184"/>
      <c r="D317" s="161"/>
      <c r="E317" s="147"/>
      <c r="F317" s="130"/>
      <c r="G317" s="130"/>
      <c r="H317" s="196">
        <f t="shared" si="8"/>
        <v>0</v>
      </c>
      <c r="I317" s="84"/>
      <c r="J317" s="83"/>
      <c r="M317" s="76"/>
    </row>
    <row r="318" spans="1:13" s="53" customFormat="1" ht="40.5" customHeight="1">
      <c r="A318" s="167"/>
      <c r="B318" s="278" t="s">
        <v>294</v>
      </c>
      <c r="C318" s="258" t="s">
        <v>160</v>
      </c>
      <c r="D318" s="266" t="s">
        <v>309</v>
      </c>
      <c r="E318" s="160" t="s">
        <v>367</v>
      </c>
      <c r="F318" s="129">
        <f>F319+F320</f>
        <v>40050</v>
      </c>
      <c r="G318" s="129"/>
      <c r="H318" s="117">
        <f>F318+G318</f>
        <v>40050</v>
      </c>
      <c r="I318" s="84"/>
      <c r="J318" s="83"/>
      <c r="M318" s="76"/>
    </row>
    <row r="319" spans="1:13" s="53" customFormat="1" ht="25.5" customHeight="1">
      <c r="A319" s="168"/>
      <c r="B319" s="252"/>
      <c r="C319" s="261"/>
      <c r="D319" s="269"/>
      <c r="E319" s="205" t="s">
        <v>360</v>
      </c>
      <c r="F319" s="129">
        <v>26700</v>
      </c>
      <c r="G319" s="200"/>
      <c r="H319" s="117">
        <f>F319+G319</f>
        <v>26700</v>
      </c>
      <c r="I319" s="84"/>
      <c r="J319" s="83"/>
      <c r="M319" s="76"/>
    </row>
    <row r="320" spans="1:14" s="53" customFormat="1" ht="21" customHeight="1">
      <c r="A320" s="170"/>
      <c r="B320" s="253"/>
      <c r="C320" s="263"/>
      <c r="D320" s="267"/>
      <c r="E320" s="171" t="s">
        <v>358</v>
      </c>
      <c r="F320" s="130">
        <v>13350</v>
      </c>
      <c r="G320" s="143"/>
      <c r="H320" s="117">
        <f>F320+G320</f>
        <v>13350</v>
      </c>
      <c r="I320" s="84"/>
      <c r="J320" s="84"/>
      <c r="M320" s="94"/>
      <c r="N320" s="81"/>
    </row>
    <row r="321" spans="1:13" s="53" customFormat="1" ht="47.25" customHeight="1">
      <c r="A321" s="191"/>
      <c r="B321" s="191" t="s">
        <v>444</v>
      </c>
      <c r="C321" s="191"/>
      <c r="D321" s="193" t="s">
        <v>254</v>
      </c>
      <c r="E321" s="161"/>
      <c r="F321" s="134">
        <f>F322+F323</f>
        <v>930200</v>
      </c>
      <c r="G321" s="134">
        <f>G322+G323</f>
        <v>11886944</v>
      </c>
      <c r="H321" s="134">
        <f t="shared" si="8"/>
        <v>12817144</v>
      </c>
      <c r="I321" s="83"/>
      <c r="J321" s="83"/>
      <c r="M321" s="76"/>
    </row>
    <row r="322" spans="1:13" s="53" customFormat="1" ht="50.25" customHeight="1">
      <c r="A322" s="184"/>
      <c r="B322" s="184" t="s">
        <v>318</v>
      </c>
      <c r="C322" s="184" t="s">
        <v>194</v>
      </c>
      <c r="D322" s="161" t="s">
        <v>446</v>
      </c>
      <c r="E322" s="147" t="s">
        <v>205</v>
      </c>
      <c r="F322" s="130">
        <f>214600+715600</f>
        <v>930200</v>
      </c>
      <c r="G322" s="130">
        <v>4785400</v>
      </c>
      <c r="H322" s="130">
        <f>G322+F322</f>
        <v>5715600</v>
      </c>
      <c r="I322" s="84"/>
      <c r="J322" s="84"/>
      <c r="M322" s="76"/>
    </row>
    <row r="323" spans="1:13" s="53" customFormat="1" ht="51.75" customHeight="1">
      <c r="A323" s="237"/>
      <c r="B323" s="237">
        <v>250380</v>
      </c>
      <c r="C323" s="184" t="s">
        <v>194</v>
      </c>
      <c r="D323" s="266" t="s">
        <v>545</v>
      </c>
      <c r="E323" s="161" t="s">
        <v>137</v>
      </c>
      <c r="F323" s="132"/>
      <c r="G323" s="117">
        <v>7101544</v>
      </c>
      <c r="H323" s="117">
        <f>G323</f>
        <v>7101544</v>
      </c>
      <c r="I323" s="84"/>
      <c r="J323" s="84"/>
      <c r="M323" s="76"/>
    </row>
    <row r="324" spans="1:13" s="53" customFormat="1" ht="51.75" customHeight="1" hidden="1">
      <c r="A324" s="232"/>
      <c r="B324" s="232"/>
      <c r="C324" s="177"/>
      <c r="D324" s="267"/>
      <c r="E324" s="161"/>
      <c r="F324" s="132"/>
      <c r="G324" s="117">
        <v>0</v>
      </c>
      <c r="H324" s="117">
        <f>G324</f>
        <v>0</v>
      </c>
      <c r="I324" s="84"/>
      <c r="J324" s="84"/>
      <c r="M324" s="76"/>
    </row>
    <row r="325" spans="1:13" s="53" customFormat="1" ht="31.5">
      <c r="A325" s="178"/>
      <c r="B325" s="178" t="s">
        <v>385</v>
      </c>
      <c r="C325" s="178"/>
      <c r="D325" s="179" t="s">
        <v>257</v>
      </c>
      <c r="E325" s="161"/>
      <c r="F325" s="134">
        <f>F326+F327+F328+F331+F332+F333+F334+F335+F336+F337+F338+F340+F339</f>
        <v>1309992</v>
      </c>
      <c r="G325" s="134">
        <f>G326+G327+G328+G331+G332+G333+G334+G335+G336+G337+G338+G340+G339</f>
        <v>0</v>
      </c>
      <c r="H325" s="134">
        <f>H326+H327+H328+H331+H332+H333+H334+H335+H336+H337+H338+H340+H339</f>
        <v>1309992</v>
      </c>
      <c r="I325" s="83"/>
      <c r="J325" s="83"/>
      <c r="M325" s="76"/>
    </row>
    <row r="326" spans="1:13" s="53" customFormat="1" ht="53.25" customHeight="1" hidden="1">
      <c r="A326" s="166"/>
      <c r="B326" s="166" t="s">
        <v>416</v>
      </c>
      <c r="C326" s="166"/>
      <c r="D326" s="173" t="s">
        <v>417</v>
      </c>
      <c r="E326" s="160" t="s">
        <v>355</v>
      </c>
      <c r="F326" s="130"/>
      <c r="G326" s="117"/>
      <c r="H326" s="117">
        <f>F326+G326</f>
        <v>0</v>
      </c>
      <c r="I326" s="84"/>
      <c r="J326" s="83"/>
      <c r="M326" s="76"/>
    </row>
    <row r="327" spans="1:13" s="53" customFormat="1" ht="72" customHeight="1">
      <c r="A327" s="166"/>
      <c r="B327" s="201" t="s">
        <v>303</v>
      </c>
      <c r="C327" s="167" t="s">
        <v>179</v>
      </c>
      <c r="D327" s="166" t="s">
        <v>310</v>
      </c>
      <c r="E327" s="160" t="s">
        <v>140</v>
      </c>
      <c r="F327" s="130">
        <v>7822</v>
      </c>
      <c r="G327" s="117"/>
      <c r="H327" s="117">
        <f aca="true" t="shared" si="9" ref="H327:H340">F327+G327</f>
        <v>7822</v>
      </c>
      <c r="I327" s="84"/>
      <c r="J327" s="83"/>
      <c r="M327" s="76"/>
    </row>
    <row r="328" spans="1:14" s="53" customFormat="1" ht="52.5" customHeight="1">
      <c r="A328" s="166"/>
      <c r="B328" s="275" t="s">
        <v>311</v>
      </c>
      <c r="C328" s="258" t="s">
        <v>187</v>
      </c>
      <c r="D328" s="173" t="s">
        <v>312</v>
      </c>
      <c r="E328" s="160" t="s">
        <v>137</v>
      </c>
      <c r="F328" s="130">
        <f>F329+F330</f>
        <v>923329</v>
      </c>
      <c r="G328" s="117"/>
      <c r="H328" s="117">
        <f t="shared" si="9"/>
        <v>923329</v>
      </c>
      <c r="I328" s="84"/>
      <c r="J328" s="84"/>
      <c r="M328" s="94"/>
      <c r="N328" s="81"/>
    </row>
    <row r="329" spans="1:14" s="53" customFormat="1" ht="27.75" customHeight="1">
      <c r="A329" s="165"/>
      <c r="B329" s="276"/>
      <c r="C329" s="261"/>
      <c r="D329" s="172"/>
      <c r="E329" s="205" t="s">
        <v>360</v>
      </c>
      <c r="F329" s="130">
        <f>161158+720434</f>
        <v>881592</v>
      </c>
      <c r="G329" s="117"/>
      <c r="H329" s="117">
        <f t="shared" si="9"/>
        <v>881592</v>
      </c>
      <c r="I329" s="84"/>
      <c r="J329" s="84"/>
      <c r="M329" s="94"/>
      <c r="N329" s="81"/>
    </row>
    <row r="330" spans="1:14" s="53" customFormat="1" ht="27.75" customHeight="1">
      <c r="A330" s="169"/>
      <c r="B330" s="277"/>
      <c r="C330" s="263"/>
      <c r="D330" s="186"/>
      <c r="E330" s="118" t="s">
        <v>358</v>
      </c>
      <c r="F330" s="130">
        <v>41737</v>
      </c>
      <c r="G330" s="117"/>
      <c r="H330" s="117">
        <f t="shared" si="9"/>
        <v>41737</v>
      </c>
      <c r="I330" s="84"/>
      <c r="J330" s="84"/>
      <c r="M330" s="94"/>
      <c r="N330" s="81"/>
    </row>
    <row r="331" spans="1:14" s="53" customFormat="1" ht="71.25" customHeight="1" hidden="1">
      <c r="A331" s="169"/>
      <c r="B331" s="169" t="s">
        <v>305</v>
      </c>
      <c r="C331" s="169"/>
      <c r="D331" s="186" t="s">
        <v>306</v>
      </c>
      <c r="E331" s="161" t="s">
        <v>225</v>
      </c>
      <c r="F331" s="130"/>
      <c r="G331" s="117"/>
      <c r="H331" s="117">
        <f t="shared" si="9"/>
        <v>0</v>
      </c>
      <c r="I331" s="84"/>
      <c r="J331" s="84"/>
      <c r="M331" s="94"/>
      <c r="N331" s="81"/>
    </row>
    <row r="332" spans="1:13" s="53" customFormat="1" ht="73.5" customHeight="1" hidden="1">
      <c r="A332" s="184"/>
      <c r="B332" s="184" t="s">
        <v>288</v>
      </c>
      <c r="C332" s="166"/>
      <c r="D332" s="161" t="s">
        <v>475</v>
      </c>
      <c r="E332" s="161" t="s">
        <v>457</v>
      </c>
      <c r="F332" s="130"/>
      <c r="G332" s="117"/>
      <c r="H332" s="117">
        <f t="shared" si="9"/>
        <v>0</v>
      </c>
      <c r="I332" s="84"/>
      <c r="J332" s="84"/>
      <c r="M332" s="76"/>
    </row>
    <row r="333" spans="1:14" s="53" customFormat="1" ht="50.25" customHeight="1">
      <c r="A333" s="262"/>
      <c r="B333" s="265" t="s">
        <v>294</v>
      </c>
      <c r="C333" s="258" t="s">
        <v>160</v>
      </c>
      <c r="D333" s="264" t="s">
        <v>309</v>
      </c>
      <c r="E333" s="161" t="s">
        <v>226</v>
      </c>
      <c r="F333" s="130">
        <v>198544</v>
      </c>
      <c r="G333" s="143"/>
      <c r="H333" s="117">
        <f t="shared" si="9"/>
        <v>198544</v>
      </c>
      <c r="I333" s="84"/>
      <c r="J333" s="84"/>
      <c r="M333" s="94"/>
      <c r="N333" s="81"/>
    </row>
    <row r="334" spans="1:13" s="53" customFormat="1" ht="54" customHeight="1" hidden="1">
      <c r="A334" s="262"/>
      <c r="B334" s="265"/>
      <c r="C334" s="261"/>
      <c r="D334" s="264"/>
      <c r="E334" s="161" t="s">
        <v>569</v>
      </c>
      <c r="F334" s="130"/>
      <c r="G334" s="143"/>
      <c r="H334" s="117">
        <f t="shared" si="9"/>
        <v>0</v>
      </c>
      <c r="I334" s="84"/>
      <c r="J334" s="84"/>
      <c r="M334" s="76"/>
    </row>
    <row r="335" spans="1:13" s="53" customFormat="1" ht="52.5" customHeight="1">
      <c r="A335" s="262"/>
      <c r="B335" s="265"/>
      <c r="C335" s="261"/>
      <c r="D335" s="264"/>
      <c r="E335" s="161" t="s">
        <v>149</v>
      </c>
      <c r="F335" s="130">
        <v>99550</v>
      </c>
      <c r="G335" s="143"/>
      <c r="H335" s="117">
        <f t="shared" si="9"/>
        <v>99550</v>
      </c>
      <c r="I335" s="84"/>
      <c r="J335" s="84"/>
      <c r="M335" s="76"/>
    </row>
    <row r="336" spans="1:13" s="53" customFormat="1" ht="71.25" customHeight="1">
      <c r="A336" s="262"/>
      <c r="B336" s="265"/>
      <c r="C336" s="261"/>
      <c r="D336" s="264"/>
      <c r="E336" s="161" t="s">
        <v>153</v>
      </c>
      <c r="F336" s="130">
        <v>67550</v>
      </c>
      <c r="G336" s="143"/>
      <c r="H336" s="117">
        <f t="shared" si="9"/>
        <v>67550</v>
      </c>
      <c r="I336" s="84"/>
      <c r="J336" s="84"/>
      <c r="M336" s="76"/>
    </row>
    <row r="337" spans="1:13" s="53" customFormat="1" ht="71.25" customHeight="1" hidden="1">
      <c r="A337" s="262"/>
      <c r="B337" s="265"/>
      <c r="C337" s="261"/>
      <c r="D337" s="264"/>
      <c r="E337" s="161" t="s">
        <v>337</v>
      </c>
      <c r="F337" s="130"/>
      <c r="G337" s="143"/>
      <c r="H337" s="117">
        <f t="shared" si="9"/>
        <v>0</v>
      </c>
      <c r="I337" s="84"/>
      <c r="J337" s="84"/>
      <c r="M337" s="76"/>
    </row>
    <row r="338" spans="1:13" s="53" customFormat="1" ht="69.75" customHeight="1">
      <c r="A338" s="262"/>
      <c r="B338" s="265"/>
      <c r="C338" s="261"/>
      <c r="D338" s="264"/>
      <c r="E338" s="161" t="s">
        <v>364</v>
      </c>
      <c r="F338" s="130">
        <v>499</v>
      </c>
      <c r="G338" s="143"/>
      <c r="H338" s="117">
        <f t="shared" si="9"/>
        <v>499</v>
      </c>
      <c r="I338" s="84"/>
      <c r="J338" s="84"/>
      <c r="M338" s="76"/>
    </row>
    <row r="339" spans="1:13" s="53" customFormat="1" ht="61.5" customHeight="1">
      <c r="A339" s="262"/>
      <c r="B339" s="265"/>
      <c r="C339" s="261"/>
      <c r="D339" s="264"/>
      <c r="E339" s="161" t="s">
        <v>196</v>
      </c>
      <c r="F339" s="130">
        <v>12220</v>
      </c>
      <c r="G339" s="143"/>
      <c r="H339" s="117">
        <f t="shared" si="9"/>
        <v>12220</v>
      </c>
      <c r="I339" s="84"/>
      <c r="J339" s="84"/>
      <c r="M339" s="76"/>
    </row>
    <row r="340" spans="1:13" s="53" customFormat="1" ht="63.75" customHeight="1">
      <c r="A340" s="262"/>
      <c r="B340" s="265"/>
      <c r="C340" s="263"/>
      <c r="D340" s="264"/>
      <c r="E340" s="161" t="s">
        <v>132</v>
      </c>
      <c r="F340" s="130">
        <v>478</v>
      </c>
      <c r="G340" s="143"/>
      <c r="H340" s="117">
        <f t="shared" si="9"/>
        <v>478</v>
      </c>
      <c r="I340" s="84"/>
      <c r="J340" s="84"/>
      <c r="M340" s="76"/>
    </row>
    <row r="341" spans="1:13" s="53" customFormat="1" ht="31.5">
      <c r="A341" s="178"/>
      <c r="B341" s="178" t="s">
        <v>386</v>
      </c>
      <c r="C341" s="178"/>
      <c r="D341" s="179" t="s">
        <v>260</v>
      </c>
      <c r="E341" s="161"/>
      <c r="F341" s="134">
        <f>F342+F343+F346+F347+F348+F349+F350+F353+F354+F355+F352</f>
        <v>604180</v>
      </c>
      <c r="G341" s="134">
        <f>G342+G343+G346+G347+G348+G349+G350+G353+G354+G355+G352</f>
        <v>499551</v>
      </c>
      <c r="H341" s="134">
        <f>H342+H343+H346+H347+H348+H349+H350+H353+H354+H355+H352</f>
        <v>1103731</v>
      </c>
      <c r="I341" s="83"/>
      <c r="J341" s="83"/>
      <c r="M341" s="76"/>
    </row>
    <row r="342" spans="1:13" s="53" customFormat="1" ht="45.75" customHeight="1" hidden="1">
      <c r="A342" s="166"/>
      <c r="B342" s="166" t="s">
        <v>416</v>
      </c>
      <c r="C342" s="166"/>
      <c r="D342" s="173" t="s">
        <v>417</v>
      </c>
      <c r="E342" s="160" t="s">
        <v>355</v>
      </c>
      <c r="F342" s="130"/>
      <c r="G342" s="117"/>
      <c r="H342" s="117">
        <f>F342+G342</f>
        <v>0</v>
      </c>
      <c r="I342" s="84"/>
      <c r="J342" s="83"/>
      <c r="M342" s="76"/>
    </row>
    <row r="343" spans="1:14" s="53" customFormat="1" ht="51" customHeight="1">
      <c r="A343" s="166"/>
      <c r="B343" s="275" t="s">
        <v>311</v>
      </c>
      <c r="C343" s="258" t="s">
        <v>187</v>
      </c>
      <c r="D343" s="173" t="s">
        <v>312</v>
      </c>
      <c r="E343" s="160" t="s">
        <v>137</v>
      </c>
      <c r="F343" s="130">
        <f>F344+F345</f>
        <v>474749</v>
      </c>
      <c r="G343" s="130">
        <f>G344+G345</f>
        <v>52605</v>
      </c>
      <c r="H343" s="117">
        <f aca="true" t="shared" si="10" ref="H343:H355">F343+G343</f>
        <v>527354</v>
      </c>
      <c r="I343" s="84"/>
      <c r="J343" s="83"/>
      <c r="M343" s="94"/>
      <c r="N343" s="81"/>
    </row>
    <row r="344" spans="1:14" s="53" customFormat="1" ht="27" customHeight="1">
      <c r="A344" s="165"/>
      <c r="B344" s="276"/>
      <c r="C344" s="261"/>
      <c r="D344" s="172"/>
      <c r="E344" s="205" t="s">
        <v>360</v>
      </c>
      <c r="F344" s="130">
        <f>7714+465315</f>
        <v>473029</v>
      </c>
      <c r="G344" s="117">
        <v>52605</v>
      </c>
      <c r="H344" s="117">
        <f t="shared" si="10"/>
        <v>525634</v>
      </c>
      <c r="I344" s="84"/>
      <c r="J344" s="83"/>
      <c r="M344" s="94"/>
      <c r="N344" s="81"/>
    </row>
    <row r="345" spans="1:14" s="53" customFormat="1" ht="26.25" customHeight="1">
      <c r="A345" s="169"/>
      <c r="B345" s="277"/>
      <c r="C345" s="263"/>
      <c r="D345" s="186"/>
      <c r="E345" s="118" t="s">
        <v>358</v>
      </c>
      <c r="F345" s="130">
        <v>1720</v>
      </c>
      <c r="G345" s="117"/>
      <c r="H345" s="117">
        <f t="shared" si="10"/>
        <v>1720</v>
      </c>
      <c r="I345" s="84"/>
      <c r="J345" s="83"/>
      <c r="M345" s="94"/>
      <c r="N345" s="81"/>
    </row>
    <row r="346" spans="1:13" s="53" customFormat="1" ht="63" customHeight="1" hidden="1">
      <c r="A346" s="169"/>
      <c r="B346" s="169" t="s">
        <v>305</v>
      </c>
      <c r="C346" s="169"/>
      <c r="D346" s="186" t="s">
        <v>306</v>
      </c>
      <c r="E346" s="161" t="s">
        <v>225</v>
      </c>
      <c r="F346" s="130"/>
      <c r="G346" s="140"/>
      <c r="H346" s="117">
        <f t="shared" si="10"/>
        <v>0</v>
      </c>
      <c r="I346" s="84"/>
      <c r="J346" s="84"/>
      <c r="M346" s="76"/>
    </row>
    <row r="347" spans="1:13" s="53" customFormat="1" ht="73.5" customHeight="1">
      <c r="A347" s="184"/>
      <c r="B347" s="184" t="s">
        <v>288</v>
      </c>
      <c r="C347" s="166" t="s">
        <v>160</v>
      </c>
      <c r="D347" s="161" t="s">
        <v>475</v>
      </c>
      <c r="E347" s="161" t="s">
        <v>151</v>
      </c>
      <c r="F347" s="130"/>
      <c r="G347" s="117">
        <v>8680</v>
      </c>
      <c r="H347" s="117">
        <f t="shared" si="10"/>
        <v>8680</v>
      </c>
      <c r="I347" s="84"/>
      <c r="J347" s="83"/>
      <c r="M347" s="76"/>
    </row>
    <row r="348" spans="1:14" s="53" customFormat="1" ht="47.25">
      <c r="A348" s="262"/>
      <c r="B348" s="265" t="s">
        <v>294</v>
      </c>
      <c r="C348" s="258" t="s">
        <v>160</v>
      </c>
      <c r="D348" s="264" t="s">
        <v>309</v>
      </c>
      <c r="E348" s="161" t="s">
        <v>228</v>
      </c>
      <c r="F348" s="130">
        <v>14160</v>
      </c>
      <c r="G348" s="143"/>
      <c r="H348" s="117">
        <f t="shared" si="10"/>
        <v>14160</v>
      </c>
      <c r="I348" s="84"/>
      <c r="J348" s="84"/>
      <c r="M348" s="94"/>
      <c r="N348" s="81"/>
    </row>
    <row r="349" spans="1:13" s="53" customFormat="1" ht="51.75" customHeight="1">
      <c r="A349" s="262"/>
      <c r="B349" s="265"/>
      <c r="C349" s="261"/>
      <c r="D349" s="264"/>
      <c r="E349" s="161" t="s">
        <v>149</v>
      </c>
      <c r="F349" s="130">
        <v>31950</v>
      </c>
      <c r="G349" s="143"/>
      <c r="H349" s="117">
        <f t="shared" si="10"/>
        <v>31950</v>
      </c>
      <c r="I349" s="84"/>
      <c r="J349" s="84"/>
      <c r="M349" s="76"/>
    </row>
    <row r="350" spans="1:13" s="53" customFormat="1" ht="66.75" customHeight="1">
      <c r="A350" s="262"/>
      <c r="B350" s="265"/>
      <c r="C350" s="261"/>
      <c r="D350" s="264"/>
      <c r="E350" s="161" t="s">
        <v>153</v>
      </c>
      <c r="F350" s="130">
        <v>68230</v>
      </c>
      <c r="G350" s="143"/>
      <c r="H350" s="117">
        <f t="shared" si="10"/>
        <v>68230</v>
      </c>
      <c r="I350" s="84"/>
      <c r="J350" s="84"/>
      <c r="M350" s="76"/>
    </row>
    <row r="351" spans="1:13" s="53" customFormat="1" ht="66.75" customHeight="1" hidden="1">
      <c r="A351" s="262"/>
      <c r="B351" s="265"/>
      <c r="C351" s="261"/>
      <c r="D351" s="264"/>
      <c r="E351" s="161" t="s">
        <v>568</v>
      </c>
      <c r="F351" s="130"/>
      <c r="G351" s="143"/>
      <c r="H351" s="117">
        <f t="shared" si="10"/>
        <v>0</v>
      </c>
      <c r="I351" s="84"/>
      <c r="J351" s="84"/>
      <c r="M351" s="76"/>
    </row>
    <row r="352" spans="1:13" s="53" customFormat="1" ht="61.5" customHeight="1">
      <c r="A352" s="262"/>
      <c r="B352" s="265"/>
      <c r="C352" s="261"/>
      <c r="D352" s="264"/>
      <c r="E352" s="161" t="s">
        <v>196</v>
      </c>
      <c r="F352" s="130">
        <v>13470</v>
      </c>
      <c r="G352" s="143"/>
      <c r="H352" s="117">
        <f t="shared" si="10"/>
        <v>13470</v>
      </c>
      <c r="I352" s="84"/>
      <c r="J352" s="84"/>
      <c r="M352" s="76"/>
    </row>
    <row r="353" spans="1:13" s="53" customFormat="1" ht="66.75" customHeight="1">
      <c r="A353" s="262"/>
      <c r="B353" s="265"/>
      <c r="C353" s="263"/>
      <c r="D353" s="264"/>
      <c r="E353" s="161" t="s">
        <v>366</v>
      </c>
      <c r="F353" s="130">
        <v>1621</v>
      </c>
      <c r="G353" s="143"/>
      <c r="H353" s="117">
        <f t="shared" si="10"/>
        <v>1621</v>
      </c>
      <c r="I353" s="84"/>
      <c r="J353" s="84"/>
      <c r="M353" s="76"/>
    </row>
    <row r="354" spans="1:13" s="53" customFormat="1" ht="47.25" customHeight="1" hidden="1">
      <c r="A354" s="262"/>
      <c r="B354" s="265"/>
      <c r="C354" s="169"/>
      <c r="D354" s="264"/>
      <c r="E354" s="161" t="s">
        <v>231</v>
      </c>
      <c r="F354" s="130"/>
      <c r="G354" s="143"/>
      <c r="H354" s="117">
        <f t="shared" si="10"/>
        <v>0</v>
      </c>
      <c r="I354" s="84"/>
      <c r="J354" s="84"/>
      <c r="M354" s="76"/>
    </row>
    <row r="355" spans="1:13" s="53" customFormat="1" ht="53.25" customHeight="1">
      <c r="A355" s="184"/>
      <c r="B355" s="202" t="s">
        <v>301</v>
      </c>
      <c r="C355" s="169" t="s">
        <v>159</v>
      </c>
      <c r="D355" s="160" t="s">
        <v>302</v>
      </c>
      <c r="E355" s="161" t="s">
        <v>137</v>
      </c>
      <c r="F355" s="130"/>
      <c r="G355" s="143">
        <f>(438266)</f>
        <v>438266</v>
      </c>
      <c r="H355" s="117">
        <f t="shared" si="10"/>
        <v>438266</v>
      </c>
      <c r="I355" s="84"/>
      <c r="J355" s="84"/>
      <c r="M355" s="76"/>
    </row>
    <row r="356" spans="1:13" s="53" customFormat="1" ht="31.5">
      <c r="A356" s="178"/>
      <c r="B356" s="178" t="s">
        <v>387</v>
      </c>
      <c r="C356" s="178"/>
      <c r="D356" s="179" t="s">
        <v>261</v>
      </c>
      <c r="E356" s="161"/>
      <c r="F356" s="134">
        <f>F357+F358+F361+F364+F365+F366+F367+F368+F370+F371+F372+F373+F369</f>
        <v>1404412</v>
      </c>
      <c r="G356" s="134">
        <f>G357+G358+G361+G364+G365+G366+G367+G368+G370+G371+G372+G373+G369</f>
        <v>4624350</v>
      </c>
      <c r="H356" s="134">
        <f>H357+H358+H361+H364+H365+H366+H367+H368+H370+H371+H372+H373+H369</f>
        <v>6028762</v>
      </c>
      <c r="I356" s="83"/>
      <c r="J356" s="83"/>
      <c r="M356" s="76"/>
    </row>
    <row r="357" spans="1:13" s="53" customFormat="1" ht="53.25" customHeight="1" hidden="1">
      <c r="A357" s="166"/>
      <c r="B357" s="166" t="s">
        <v>416</v>
      </c>
      <c r="C357" s="166"/>
      <c r="D357" s="173" t="s">
        <v>417</v>
      </c>
      <c r="E357" s="160" t="s">
        <v>355</v>
      </c>
      <c r="F357" s="130"/>
      <c r="G357" s="117"/>
      <c r="H357" s="117">
        <f>F357+G357</f>
        <v>0</v>
      </c>
      <c r="I357" s="84"/>
      <c r="J357" s="83"/>
      <c r="M357" s="76"/>
    </row>
    <row r="358" spans="1:14" s="53" customFormat="1" ht="52.5" customHeight="1">
      <c r="A358" s="166"/>
      <c r="B358" s="275" t="s">
        <v>311</v>
      </c>
      <c r="C358" s="258" t="s">
        <v>187</v>
      </c>
      <c r="D358" s="266" t="s">
        <v>312</v>
      </c>
      <c r="E358" s="160" t="s">
        <v>137</v>
      </c>
      <c r="F358" s="130">
        <f>F359+F360</f>
        <v>1101502</v>
      </c>
      <c r="G358" s="130">
        <f>G359+G360</f>
        <v>158034</v>
      </c>
      <c r="H358" s="117">
        <f aca="true" t="shared" si="11" ref="H358:H373">F358+G358</f>
        <v>1259536</v>
      </c>
      <c r="I358" s="84"/>
      <c r="J358" s="83"/>
      <c r="M358" s="94"/>
      <c r="N358" s="81"/>
    </row>
    <row r="359" spans="1:14" s="53" customFormat="1" ht="26.25" customHeight="1">
      <c r="A359" s="165"/>
      <c r="B359" s="276"/>
      <c r="C359" s="261"/>
      <c r="D359" s="269"/>
      <c r="E359" s="205" t="s">
        <v>360</v>
      </c>
      <c r="F359" s="130">
        <f>13736+746900</f>
        <v>760636</v>
      </c>
      <c r="G359" s="117">
        <v>158034</v>
      </c>
      <c r="H359" s="117">
        <f t="shared" si="11"/>
        <v>918670</v>
      </c>
      <c r="I359" s="84"/>
      <c r="J359" s="83"/>
      <c r="M359" s="94"/>
      <c r="N359" s="81"/>
    </row>
    <row r="360" spans="1:14" s="53" customFormat="1" ht="25.5" customHeight="1">
      <c r="A360" s="165"/>
      <c r="B360" s="276"/>
      <c r="C360" s="263"/>
      <c r="D360" s="269"/>
      <c r="E360" s="118" t="s">
        <v>358</v>
      </c>
      <c r="F360" s="130">
        <v>340866</v>
      </c>
      <c r="G360" s="117"/>
      <c r="H360" s="117">
        <f t="shared" si="11"/>
        <v>340866</v>
      </c>
      <c r="I360" s="84"/>
      <c r="J360" s="83"/>
      <c r="M360" s="94"/>
      <c r="N360" s="81"/>
    </row>
    <row r="361" spans="1:13" s="53" customFormat="1" ht="47.25">
      <c r="A361" s="166"/>
      <c r="B361" s="275" t="s">
        <v>301</v>
      </c>
      <c r="C361" s="258" t="s">
        <v>159</v>
      </c>
      <c r="D361" s="266" t="s">
        <v>302</v>
      </c>
      <c r="E361" s="160" t="s">
        <v>137</v>
      </c>
      <c r="F361" s="130"/>
      <c r="G361" s="130">
        <f>G362+G363</f>
        <v>4466316</v>
      </c>
      <c r="H361" s="117">
        <f t="shared" si="11"/>
        <v>4466316</v>
      </c>
      <c r="I361" s="84"/>
      <c r="J361" s="83"/>
      <c r="M361" s="76"/>
    </row>
    <row r="362" spans="1:13" s="53" customFormat="1" ht="15.75">
      <c r="A362" s="165"/>
      <c r="B362" s="276"/>
      <c r="C362" s="261"/>
      <c r="D362" s="269"/>
      <c r="E362" s="205" t="s">
        <v>360</v>
      </c>
      <c r="F362" s="130"/>
      <c r="G362" s="117">
        <v>4306598</v>
      </c>
      <c r="H362" s="117">
        <f t="shared" si="11"/>
        <v>4306598</v>
      </c>
      <c r="I362" s="84"/>
      <c r="J362" s="83"/>
      <c r="M362" s="76"/>
    </row>
    <row r="363" spans="1:13" s="53" customFormat="1" ht="15.75">
      <c r="A363" s="169"/>
      <c r="B363" s="277"/>
      <c r="C363" s="263"/>
      <c r="D363" s="267"/>
      <c r="E363" s="118" t="s">
        <v>358</v>
      </c>
      <c r="F363" s="130"/>
      <c r="G363" s="117">
        <v>159718</v>
      </c>
      <c r="H363" s="117">
        <f t="shared" si="11"/>
        <v>159718</v>
      </c>
      <c r="I363" s="84"/>
      <c r="J363" s="83"/>
      <c r="M363" s="76"/>
    </row>
    <row r="364" spans="1:13" s="53" customFormat="1" ht="63" customHeight="1" hidden="1">
      <c r="A364" s="169"/>
      <c r="B364" s="169" t="s">
        <v>305</v>
      </c>
      <c r="C364" s="169"/>
      <c r="D364" s="186" t="s">
        <v>306</v>
      </c>
      <c r="E364" s="161" t="s">
        <v>225</v>
      </c>
      <c r="F364" s="130"/>
      <c r="G364" s="117"/>
      <c r="H364" s="117">
        <f t="shared" si="11"/>
        <v>0</v>
      </c>
      <c r="I364" s="84"/>
      <c r="J364" s="83"/>
      <c r="M364" s="76"/>
    </row>
    <row r="365" spans="1:13" s="53" customFormat="1" ht="99.75" customHeight="1" hidden="1">
      <c r="A365" s="184"/>
      <c r="B365" s="184" t="s">
        <v>288</v>
      </c>
      <c r="C365" s="166"/>
      <c r="D365" s="161" t="s">
        <v>475</v>
      </c>
      <c r="E365" s="161" t="s">
        <v>457</v>
      </c>
      <c r="F365" s="130"/>
      <c r="G365" s="117"/>
      <c r="H365" s="117">
        <f t="shared" si="11"/>
        <v>0</v>
      </c>
      <c r="I365" s="84"/>
      <c r="J365" s="84"/>
      <c r="M365" s="76"/>
    </row>
    <row r="366" spans="1:14" s="53" customFormat="1" ht="54" customHeight="1">
      <c r="A366" s="262"/>
      <c r="B366" s="265" t="s">
        <v>294</v>
      </c>
      <c r="C366" s="258" t="s">
        <v>160</v>
      </c>
      <c r="D366" s="264" t="s">
        <v>309</v>
      </c>
      <c r="E366" s="161" t="s">
        <v>228</v>
      </c>
      <c r="F366" s="130">
        <v>141782</v>
      </c>
      <c r="G366" s="143"/>
      <c r="H366" s="117">
        <f t="shared" si="11"/>
        <v>141782</v>
      </c>
      <c r="I366" s="84"/>
      <c r="J366" s="84"/>
      <c r="M366" s="94"/>
      <c r="N366" s="81"/>
    </row>
    <row r="367" spans="1:13" s="53" customFormat="1" ht="54" customHeight="1" hidden="1">
      <c r="A367" s="262"/>
      <c r="B367" s="265"/>
      <c r="C367" s="261"/>
      <c r="D367" s="264"/>
      <c r="E367" s="161" t="s">
        <v>569</v>
      </c>
      <c r="F367" s="130"/>
      <c r="G367" s="143"/>
      <c r="H367" s="117">
        <f t="shared" si="11"/>
        <v>0</v>
      </c>
      <c r="I367" s="84"/>
      <c r="J367" s="84"/>
      <c r="M367" s="76"/>
    </row>
    <row r="368" spans="1:13" s="53" customFormat="1" ht="53.25" customHeight="1">
      <c r="A368" s="262"/>
      <c r="B368" s="265"/>
      <c r="C368" s="261"/>
      <c r="D368" s="264"/>
      <c r="E368" s="161" t="s">
        <v>149</v>
      </c>
      <c r="F368" s="130">
        <v>43889</v>
      </c>
      <c r="G368" s="143"/>
      <c r="H368" s="117">
        <f t="shared" si="11"/>
        <v>43889</v>
      </c>
      <c r="I368" s="84"/>
      <c r="J368" s="84"/>
      <c r="M368" s="76"/>
    </row>
    <row r="369" spans="1:13" s="53" customFormat="1" ht="53.25" customHeight="1">
      <c r="A369" s="262"/>
      <c r="B369" s="265"/>
      <c r="C369" s="261"/>
      <c r="D369" s="264"/>
      <c r="E369" s="161" t="s">
        <v>196</v>
      </c>
      <c r="F369" s="130">
        <v>70277</v>
      </c>
      <c r="G369" s="143"/>
      <c r="H369" s="117">
        <f t="shared" si="11"/>
        <v>70277</v>
      </c>
      <c r="I369" s="84"/>
      <c r="J369" s="84"/>
      <c r="M369" s="76"/>
    </row>
    <row r="370" spans="1:13" s="53" customFormat="1" ht="63">
      <c r="A370" s="262"/>
      <c r="B370" s="265"/>
      <c r="C370" s="261"/>
      <c r="D370" s="264"/>
      <c r="E370" s="161" t="s">
        <v>153</v>
      </c>
      <c r="F370" s="130">
        <v>46962</v>
      </c>
      <c r="G370" s="143"/>
      <c r="H370" s="117">
        <f t="shared" si="11"/>
        <v>46962</v>
      </c>
      <c r="I370" s="84"/>
      <c r="J370" s="84"/>
      <c r="M370" s="76"/>
    </row>
    <row r="371" spans="1:13" s="53" customFormat="1" ht="47.25" customHeight="1" hidden="1">
      <c r="A371" s="262"/>
      <c r="B371" s="265"/>
      <c r="C371" s="165"/>
      <c r="D371" s="264"/>
      <c r="E371" s="161" t="s">
        <v>231</v>
      </c>
      <c r="F371" s="130"/>
      <c r="G371" s="143"/>
      <c r="H371" s="117">
        <f t="shared" si="11"/>
        <v>0</v>
      </c>
      <c r="I371" s="84"/>
      <c r="J371" s="84"/>
      <c r="M371" s="76"/>
    </row>
    <row r="372" spans="1:13" s="53" customFormat="1" ht="47.25" customHeight="1" hidden="1">
      <c r="A372" s="262"/>
      <c r="B372" s="265"/>
      <c r="C372" s="165"/>
      <c r="D372" s="264"/>
      <c r="E372" s="161" t="s">
        <v>337</v>
      </c>
      <c r="F372" s="130"/>
      <c r="G372" s="143"/>
      <c r="H372" s="117">
        <f t="shared" si="11"/>
        <v>0</v>
      </c>
      <c r="I372" s="84"/>
      <c r="J372" s="84"/>
      <c r="M372" s="76"/>
    </row>
    <row r="373" spans="1:13" s="53" customFormat="1" ht="63" customHeight="1" hidden="1">
      <c r="A373" s="262"/>
      <c r="B373" s="265"/>
      <c r="C373" s="169"/>
      <c r="D373" s="264"/>
      <c r="E373" s="161" t="s">
        <v>371</v>
      </c>
      <c r="F373" s="130"/>
      <c r="G373" s="143"/>
      <c r="H373" s="117">
        <f t="shared" si="11"/>
        <v>0</v>
      </c>
      <c r="I373" s="84"/>
      <c r="J373" s="84"/>
      <c r="M373" s="76"/>
    </row>
    <row r="374" spans="1:13" s="53" customFormat="1" ht="31.5">
      <c r="A374" s="178"/>
      <c r="B374" s="178" t="s">
        <v>388</v>
      </c>
      <c r="C374" s="178"/>
      <c r="D374" s="179" t="s">
        <v>262</v>
      </c>
      <c r="E374" s="161"/>
      <c r="F374" s="134">
        <f>F375+F376+F380+F381+F382+F383+F384+F385+F386+F388+F389+F390+F379+F387</f>
        <v>1247535</v>
      </c>
      <c r="G374" s="134">
        <f>G375+G376+G380+G381+G382+G383+G384+G385+G386+G388+G389+G390+G379+G387</f>
        <v>7345063</v>
      </c>
      <c r="H374" s="134">
        <f>H375+H376+H380+H381+H382+H383+H384+H385+H386+H388+H389+H390+H379+H387</f>
        <v>8592598</v>
      </c>
      <c r="I374" s="83"/>
      <c r="J374" s="83"/>
      <c r="M374" s="76"/>
    </row>
    <row r="375" spans="1:13" s="53" customFormat="1" ht="50.25" customHeight="1">
      <c r="A375" s="166"/>
      <c r="B375" s="166" t="s">
        <v>416</v>
      </c>
      <c r="C375" s="166" t="s">
        <v>157</v>
      </c>
      <c r="D375" s="173" t="s">
        <v>417</v>
      </c>
      <c r="E375" s="160" t="s">
        <v>152</v>
      </c>
      <c r="F375" s="130"/>
      <c r="G375" s="117">
        <v>1541</v>
      </c>
      <c r="H375" s="117">
        <f>F375+G375</f>
        <v>1541</v>
      </c>
      <c r="I375" s="84"/>
      <c r="J375" s="83"/>
      <c r="M375" s="76"/>
    </row>
    <row r="376" spans="1:14" s="53" customFormat="1" ht="47.25">
      <c r="A376" s="258"/>
      <c r="B376" s="258" t="s">
        <v>311</v>
      </c>
      <c r="C376" s="258" t="s">
        <v>187</v>
      </c>
      <c r="D376" s="266" t="s">
        <v>312</v>
      </c>
      <c r="E376" s="160" t="s">
        <v>137</v>
      </c>
      <c r="F376" s="130">
        <f>F377+F378</f>
        <v>1012559</v>
      </c>
      <c r="G376" s="130">
        <f>G377+G378</f>
        <v>579324</v>
      </c>
      <c r="H376" s="117">
        <f aca="true" t="shared" si="12" ref="H376:H390">F376+G376</f>
        <v>1591883</v>
      </c>
      <c r="I376" s="84"/>
      <c r="J376" s="83"/>
      <c r="M376" s="94"/>
      <c r="N376" s="81"/>
    </row>
    <row r="377" spans="1:14" s="53" customFormat="1" ht="15.75">
      <c r="A377" s="259"/>
      <c r="B377" s="261"/>
      <c r="C377" s="261"/>
      <c r="D377" s="269"/>
      <c r="E377" s="205" t="s">
        <v>360</v>
      </c>
      <c r="F377" s="130">
        <f>188867+765351</f>
        <v>954218</v>
      </c>
      <c r="G377" s="117">
        <f>30000+(549324)</f>
        <v>579324</v>
      </c>
      <c r="H377" s="117">
        <f t="shared" si="12"/>
        <v>1533542</v>
      </c>
      <c r="I377" s="84"/>
      <c r="J377" s="83"/>
      <c r="M377" s="94"/>
      <c r="N377" s="81"/>
    </row>
    <row r="378" spans="1:14" s="53" customFormat="1" ht="15.75">
      <c r="A378" s="259"/>
      <c r="B378" s="261"/>
      <c r="C378" s="261"/>
      <c r="D378" s="269"/>
      <c r="E378" s="118" t="s">
        <v>358</v>
      </c>
      <c r="F378" s="130">
        <v>58341</v>
      </c>
      <c r="G378" s="117"/>
      <c r="H378" s="117">
        <f t="shared" si="12"/>
        <v>58341</v>
      </c>
      <c r="I378" s="84"/>
      <c r="J378" s="83"/>
      <c r="M378" s="94"/>
      <c r="N378" s="81"/>
    </row>
    <row r="379" spans="1:14" s="53" customFormat="1" ht="42.75" customHeight="1" hidden="1">
      <c r="A379" s="260"/>
      <c r="B379" s="260"/>
      <c r="C379" s="263"/>
      <c r="D379" s="260"/>
      <c r="E379" s="203" t="s">
        <v>135</v>
      </c>
      <c r="F379" s="156">
        <f>5000-5000</f>
        <v>0</v>
      </c>
      <c r="G379" s="149"/>
      <c r="H379" s="149">
        <f t="shared" si="12"/>
        <v>0</v>
      </c>
      <c r="I379" s="84"/>
      <c r="J379" s="83"/>
      <c r="M379" s="94"/>
      <c r="N379" s="81"/>
    </row>
    <row r="380" spans="1:13" s="53" customFormat="1" ht="49.5" customHeight="1">
      <c r="A380" s="169"/>
      <c r="B380" s="169" t="s">
        <v>301</v>
      </c>
      <c r="C380" s="169" t="s">
        <v>159</v>
      </c>
      <c r="D380" s="186" t="s">
        <v>302</v>
      </c>
      <c r="E380" s="160" t="s">
        <v>137</v>
      </c>
      <c r="F380" s="130"/>
      <c r="G380" s="117">
        <v>6764198</v>
      </c>
      <c r="H380" s="117">
        <f t="shared" si="12"/>
        <v>6764198</v>
      </c>
      <c r="I380" s="84"/>
      <c r="J380" s="83"/>
      <c r="M380" s="76"/>
    </row>
    <row r="381" spans="1:13" s="53" customFormat="1" ht="53.25" customHeight="1" hidden="1">
      <c r="A381" s="184"/>
      <c r="B381" s="184" t="s">
        <v>458</v>
      </c>
      <c r="C381" s="184"/>
      <c r="D381" s="161" t="s">
        <v>459</v>
      </c>
      <c r="E381" s="161" t="s">
        <v>519</v>
      </c>
      <c r="F381" s="132"/>
      <c r="G381" s="117"/>
      <c r="H381" s="117">
        <f t="shared" si="12"/>
        <v>0</v>
      </c>
      <c r="I381" s="84"/>
      <c r="J381" s="84"/>
      <c r="M381" s="76"/>
    </row>
    <row r="382" spans="1:13" s="53" customFormat="1" ht="73.5" customHeight="1" hidden="1">
      <c r="A382" s="184"/>
      <c r="B382" s="184" t="s">
        <v>305</v>
      </c>
      <c r="C382" s="166"/>
      <c r="D382" s="161" t="s">
        <v>306</v>
      </c>
      <c r="E382" s="161" t="s">
        <v>225</v>
      </c>
      <c r="F382" s="132"/>
      <c r="G382" s="117"/>
      <c r="H382" s="117">
        <f t="shared" si="12"/>
        <v>0</v>
      </c>
      <c r="I382" s="84"/>
      <c r="J382" s="84"/>
      <c r="M382" s="76"/>
    </row>
    <row r="383" spans="1:14" s="53" customFormat="1" ht="47.25">
      <c r="A383" s="262"/>
      <c r="B383" s="265" t="s">
        <v>294</v>
      </c>
      <c r="C383" s="258" t="s">
        <v>160</v>
      </c>
      <c r="D383" s="264" t="s">
        <v>309</v>
      </c>
      <c r="E383" s="161" t="s">
        <v>226</v>
      </c>
      <c r="F383" s="130">
        <v>146508</v>
      </c>
      <c r="G383" s="143"/>
      <c r="H383" s="117">
        <f t="shared" si="12"/>
        <v>146508</v>
      </c>
      <c r="I383" s="84"/>
      <c r="J383" s="84"/>
      <c r="M383" s="94"/>
      <c r="N383" s="81"/>
    </row>
    <row r="384" spans="1:13" s="53" customFormat="1" ht="52.5" customHeight="1" hidden="1">
      <c r="A384" s="262"/>
      <c r="B384" s="265"/>
      <c r="C384" s="261"/>
      <c r="D384" s="264"/>
      <c r="E384" s="161" t="s">
        <v>569</v>
      </c>
      <c r="F384" s="130"/>
      <c r="G384" s="143"/>
      <c r="H384" s="117">
        <f t="shared" si="12"/>
        <v>0</v>
      </c>
      <c r="I384" s="84"/>
      <c r="J384" s="84"/>
      <c r="M384" s="76"/>
    </row>
    <row r="385" spans="1:13" s="53" customFormat="1" ht="54" customHeight="1">
      <c r="A385" s="262"/>
      <c r="B385" s="265"/>
      <c r="C385" s="261"/>
      <c r="D385" s="264"/>
      <c r="E385" s="161" t="s">
        <v>149</v>
      </c>
      <c r="F385" s="130">
        <v>20991</v>
      </c>
      <c r="G385" s="143"/>
      <c r="H385" s="117">
        <f t="shared" si="12"/>
        <v>20991</v>
      </c>
      <c r="I385" s="84"/>
      <c r="J385" s="84"/>
      <c r="M385" s="76"/>
    </row>
    <row r="386" spans="1:13" s="53" customFormat="1" ht="68.25" customHeight="1">
      <c r="A386" s="262"/>
      <c r="B386" s="265"/>
      <c r="C386" s="261"/>
      <c r="D386" s="264"/>
      <c r="E386" s="161" t="s">
        <v>153</v>
      </c>
      <c r="F386" s="130">
        <v>51382</v>
      </c>
      <c r="G386" s="143"/>
      <c r="H386" s="117">
        <f>F386+G386</f>
        <v>51382</v>
      </c>
      <c r="I386" s="84"/>
      <c r="J386" s="84"/>
      <c r="M386" s="76"/>
    </row>
    <row r="387" spans="1:13" s="53" customFormat="1" ht="60.75" customHeight="1">
      <c r="A387" s="262"/>
      <c r="B387" s="265"/>
      <c r="C387" s="261"/>
      <c r="D387" s="264"/>
      <c r="E387" s="161" t="s">
        <v>196</v>
      </c>
      <c r="F387" s="130">
        <v>10000</v>
      </c>
      <c r="G387" s="143"/>
      <c r="H387" s="117">
        <f>F387+G387</f>
        <v>10000</v>
      </c>
      <c r="I387" s="84"/>
      <c r="J387" s="84"/>
      <c r="M387" s="76"/>
    </row>
    <row r="388" spans="1:13" s="53" customFormat="1" ht="69" customHeight="1">
      <c r="A388" s="262"/>
      <c r="B388" s="265"/>
      <c r="C388" s="261"/>
      <c r="D388" s="264"/>
      <c r="E388" s="161" t="s">
        <v>364</v>
      </c>
      <c r="F388" s="130">
        <v>6095</v>
      </c>
      <c r="G388" s="143"/>
      <c r="H388" s="117">
        <f t="shared" si="12"/>
        <v>6095</v>
      </c>
      <c r="I388" s="84"/>
      <c r="J388" s="84"/>
      <c r="M388" s="76"/>
    </row>
    <row r="389" spans="1:13" s="53" customFormat="1" ht="47.25" customHeight="1" hidden="1">
      <c r="A389" s="262"/>
      <c r="B389" s="265"/>
      <c r="C389" s="165"/>
      <c r="D389" s="264"/>
      <c r="E389" s="161" t="s">
        <v>337</v>
      </c>
      <c r="F389" s="130"/>
      <c r="G389" s="143"/>
      <c r="H389" s="117">
        <f t="shared" si="12"/>
        <v>0</v>
      </c>
      <c r="I389" s="84"/>
      <c r="J389" s="84"/>
      <c r="M389" s="76"/>
    </row>
    <row r="390" spans="1:13" s="53" customFormat="1" ht="69.75" customHeight="1" hidden="1">
      <c r="A390" s="262"/>
      <c r="B390" s="265"/>
      <c r="C390" s="169"/>
      <c r="D390" s="264"/>
      <c r="E390" s="161" t="s">
        <v>371</v>
      </c>
      <c r="F390" s="130"/>
      <c r="G390" s="143"/>
      <c r="H390" s="117">
        <f t="shared" si="12"/>
        <v>0</v>
      </c>
      <c r="I390" s="84"/>
      <c r="J390" s="84"/>
      <c r="M390" s="76"/>
    </row>
    <row r="391" spans="1:13" s="84" customFormat="1" ht="31.5">
      <c r="A391" s="178"/>
      <c r="B391" s="178" t="s">
        <v>389</v>
      </c>
      <c r="C391" s="178"/>
      <c r="D391" s="179" t="s">
        <v>263</v>
      </c>
      <c r="E391" s="179"/>
      <c r="F391" s="134">
        <f>F392+F393+F394+F395+F399+F400+F401+F402+F403+F404+F405+F406+F408+F398+F407</f>
        <v>1393157</v>
      </c>
      <c r="G391" s="134">
        <f>G392+G393+G394+G395+G399+G400+G401+G402+G403+G404+G405+G406+G408+G398+G407</f>
        <v>2565650</v>
      </c>
      <c r="H391" s="134">
        <f>H392+H393+H394+H395+H399+H400+H401+H402+H403+H404+H405+H406+H408+H398+H407</f>
        <v>3958807</v>
      </c>
      <c r="I391" s="83"/>
      <c r="J391" s="83"/>
      <c r="M391" s="96"/>
    </row>
    <row r="392" spans="1:13" s="84" customFormat="1" ht="63.75" customHeight="1">
      <c r="A392" s="258"/>
      <c r="B392" s="258" t="s">
        <v>416</v>
      </c>
      <c r="C392" s="166" t="s">
        <v>157</v>
      </c>
      <c r="D392" s="266" t="s">
        <v>417</v>
      </c>
      <c r="E392" s="161" t="s">
        <v>132</v>
      </c>
      <c r="F392" s="130">
        <v>1200</v>
      </c>
      <c r="G392" s="117"/>
      <c r="H392" s="117">
        <f>F392+G392</f>
        <v>1200</v>
      </c>
      <c r="M392" s="96"/>
    </row>
    <row r="393" spans="1:13" s="84" customFormat="1" ht="54.75" customHeight="1" hidden="1">
      <c r="A393" s="263"/>
      <c r="B393" s="263"/>
      <c r="C393" s="169"/>
      <c r="D393" s="267"/>
      <c r="E393" s="160" t="s">
        <v>355</v>
      </c>
      <c r="F393" s="130"/>
      <c r="G393" s="117"/>
      <c r="H393" s="117">
        <f aca="true" t="shared" si="13" ref="H393:H408">F393+G393</f>
        <v>0</v>
      </c>
      <c r="J393" s="83"/>
      <c r="K393" s="53"/>
      <c r="M393" s="96"/>
    </row>
    <row r="394" spans="1:13" s="84" customFormat="1" ht="54.75" customHeight="1" hidden="1">
      <c r="A394" s="166"/>
      <c r="B394" s="166" t="s">
        <v>303</v>
      </c>
      <c r="C394" s="166"/>
      <c r="D394" s="166" t="s">
        <v>310</v>
      </c>
      <c r="E394" s="160" t="s">
        <v>568</v>
      </c>
      <c r="F394" s="130"/>
      <c r="G394" s="117"/>
      <c r="H394" s="117">
        <f t="shared" si="13"/>
        <v>0</v>
      </c>
      <c r="J394" s="83"/>
      <c r="K394" s="53"/>
      <c r="M394" s="96"/>
    </row>
    <row r="395" spans="1:14" s="53" customFormat="1" ht="54" customHeight="1">
      <c r="A395" s="167"/>
      <c r="B395" s="278" t="s">
        <v>311</v>
      </c>
      <c r="C395" s="258" t="s">
        <v>187</v>
      </c>
      <c r="D395" s="266" t="s">
        <v>312</v>
      </c>
      <c r="E395" s="160" t="s">
        <v>137</v>
      </c>
      <c r="F395" s="130">
        <f>F396+F397</f>
        <v>887316</v>
      </c>
      <c r="G395" s="130"/>
      <c r="H395" s="117">
        <f t="shared" si="13"/>
        <v>887316</v>
      </c>
      <c r="I395" s="84"/>
      <c r="J395" s="84"/>
      <c r="M395" s="94"/>
      <c r="N395" s="81"/>
    </row>
    <row r="396" spans="1:14" s="53" customFormat="1" ht="24.75" customHeight="1">
      <c r="A396" s="168"/>
      <c r="B396" s="252"/>
      <c r="C396" s="261"/>
      <c r="D396" s="269"/>
      <c r="E396" s="205" t="s">
        <v>360</v>
      </c>
      <c r="F396" s="130">
        <f>38570+796000</f>
        <v>834570</v>
      </c>
      <c r="G396" s="117"/>
      <c r="H396" s="117">
        <f t="shared" si="13"/>
        <v>834570</v>
      </c>
      <c r="I396" s="84"/>
      <c r="J396" s="84"/>
      <c r="M396" s="94"/>
      <c r="N396" s="81"/>
    </row>
    <row r="397" spans="1:14" s="53" customFormat="1" ht="23.25" customHeight="1">
      <c r="A397" s="170"/>
      <c r="B397" s="253"/>
      <c r="C397" s="263"/>
      <c r="D397" s="267"/>
      <c r="E397" s="118" t="s">
        <v>358</v>
      </c>
      <c r="F397" s="130">
        <v>52746</v>
      </c>
      <c r="G397" s="117"/>
      <c r="H397" s="117">
        <f t="shared" si="13"/>
        <v>52746</v>
      </c>
      <c r="I397" s="84"/>
      <c r="J397" s="84"/>
      <c r="M397" s="94"/>
      <c r="N397" s="81"/>
    </row>
    <row r="398" spans="1:14" s="53" customFormat="1" ht="52.5" customHeight="1">
      <c r="A398" s="170"/>
      <c r="B398" s="170" t="s">
        <v>301</v>
      </c>
      <c r="C398" s="170" t="s">
        <v>159</v>
      </c>
      <c r="D398" s="186" t="s">
        <v>302</v>
      </c>
      <c r="E398" s="160" t="s">
        <v>137</v>
      </c>
      <c r="F398" s="130"/>
      <c r="G398" s="117">
        <v>2500000</v>
      </c>
      <c r="H398" s="117">
        <f t="shared" si="13"/>
        <v>2500000</v>
      </c>
      <c r="I398" s="84"/>
      <c r="J398" s="84"/>
      <c r="M398" s="94"/>
      <c r="N398" s="81"/>
    </row>
    <row r="399" spans="1:14" s="53" customFormat="1" ht="77.25" customHeight="1" hidden="1">
      <c r="A399" s="169"/>
      <c r="B399" s="169" t="s">
        <v>305</v>
      </c>
      <c r="C399" s="169"/>
      <c r="D399" s="186" t="s">
        <v>306</v>
      </c>
      <c r="E399" s="161" t="s">
        <v>225</v>
      </c>
      <c r="F399" s="130"/>
      <c r="G399" s="117"/>
      <c r="H399" s="117">
        <f t="shared" si="13"/>
        <v>0</v>
      </c>
      <c r="I399" s="84"/>
      <c r="J399" s="84"/>
      <c r="M399" s="94"/>
      <c r="N399" s="81"/>
    </row>
    <row r="400" spans="1:13" s="53" customFormat="1" ht="63" customHeight="1">
      <c r="A400" s="184"/>
      <c r="B400" s="184" t="s">
        <v>288</v>
      </c>
      <c r="C400" s="184" t="s">
        <v>160</v>
      </c>
      <c r="D400" s="161" t="s">
        <v>475</v>
      </c>
      <c r="E400" s="161" t="s">
        <v>151</v>
      </c>
      <c r="F400" s="130"/>
      <c r="G400" s="117">
        <f>50000+15650</f>
        <v>65650</v>
      </c>
      <c r="H400" s="117">
        <f t="shared" si="13"/>
        <v>65650</v>
      </c>
      <c r="I400" s="84"/>
      <c r="J400" s="83"/>
      <c r="M400" s="76"/>
    </row>
    <row r="401" spans="1:14" s="53" customFormat="1" ht="47.25">
      <c r="A401" s="262"/>
      <c r="B401" s="265" t="s">
        <v>294</v>
      </c>
      <c r="C401" s="258" t="s">
        <v>160</v>
      </c>
      <c r="D401" s="264" t="s">
        <v>309</v>
      </c>
      <c r="E401" s="161" t="s">
        <v>228</v>
      </c>
      <c r="F401" s="130">
        <v>321370</v>
      </c>
      <c r="G401" s="143"/>
      <c r="H401" s="117">
        <f t="shared" si="13"/>
        <v>321370</v>
      </c>
      <c r="I401" s="84"/>
      <c r="J401" s="84"/>
      <c r="M401" s="94"/>
      <c r="N401" s="81"/>
    </row>
    <row r="402" spans="1:13" s="53" customFormat="1" ht="47.25">
      <c r="A402" s="262"/>
      <c r="B402" s="265"/>
      <c r="C402" s="261"/>
      <c r="D402" s="264"/>
      <c r="E402" s="161" t="s">
        <v>149</v>
      </c>
      <c r="F402" s="130">
        <v>62592</v>
      </c>
      <c r="G402" s="143"/>
      <c r="H402" s="117">
        <f t="shared" si="13"/>
        <v>62592</v>
      </c>
      <c r="I402" s="84"/>
      <c r="J402" s="84"/>
      <c r="M402" s="76"/>
    </row>
    <row r="403" spans="1:13" s="53" customFormat="1" ht="63">
      <c r="A403" s="262"/>
      <c r="B403" s="265"/>
      <c r="C403" s="261"/>
      <c r="D403" s="264"/>
      <c r="E403" s="161" t="s">
        <v>153</v>
      </c>
      <c r="F403" s="130">
        <v>96149</v>
      </c>
      <c r="G403" s="143"/>
      <c r="H403" s="117">
        <f t="shared" si="13"/>
        <v>96149</v>
      </c>
      <c r="I403" s="84"/>
      <c r="J403" s="84"/>
      <c r="M403" s="76"/>
    </row>
    <row r="404" spans="1:13" s="53" customFormat="1" ht="47.25" customHeight="1" hidden="1">
      <c r="A404" s="262"/>
      <c r="B404" s="265"/>
      <c r="C404" s="261"/>
      <c r="D404" s="264"/>
      <c r="E404" s="161" t="s">
        <v>231</v>
      </c>
      <c r="F404" s="130"/>
      <c r="G404" s="143"/>
      <c r="H404" s="117">
        <f t="shared" si="13"/>
        <v>0</v>
      </c>
      <c r="I404" s="84"/>
      <c r="J404" s="84"/>
      <c r="M404" s="76"/>
    </row>
    <row r="405" spans="1:13" s="53" customFormat="1" ht="47.25" customHeight="1" hidden="1">
      <c r="A405" s="262"/>
      <c r="B405" s="265"/>
      <c r="C405" s="261"/>
      <c r="D405" s="264"/>
      <c r="E405" s="161" t="s">
        <v>569</v>
      </c>
      <c r="F405" s="130"/>
      <c r="G405" s="143"/>
      <c r="H405" s="117">
        <f t="shared" si="13"/>
        <v>0</v>
      </c>
      <c r="I405" s="84"/>
      <c r="J405" s="84"/>
      <c r="M405" s="76"/>
    </row>
    <row r="406" spans="1:13" s="53" customFormat="1" ht="47.25" customHeight="1" hidden="1">
      <c r="A406" s="262"/>
      <c r="B406" s="265"/>
      <c r="C406" s="261"/>
      <c r="D406" s="264"/>
      <c r="E406" s="161" t="s">
        <v>337</v>
      </c>
      <c r="F406" s="130"/>
      <c r="G406" s="143"/>
      <c r="H406" s="117">
        <f t="shared" si="13"/>
        <v>0</v>
      </c>
      <c r="I406" s="84"/>
      <c r="J406" s="84"/>
      <c r="M406" s="76"/>
    </row>
    <row r="407" spans="1:13" s="53" customFormat="1" ht="48.75" customHeight="1">
      <c r="A407" s="262"/>
      <c r="B407" s="265"/>
      <c r="C407" s="261"/>
      <c r="D407" s="264"/>
      <c r="E407" s="161" t="s">
        <v>196</v>
      </c>
      <c r="F407" s="130">
        <v>21146</v>
      </c>
      <c r="G407" s="143"/>
      <c r="H407" s="117">
        <f t="shared" si="13"/>
        <v>21146</v>
      </c>
      <c r="I407" s="84"/>
      <c r="J407" s="84"/>
      <c r="M407" s="76"/>
    </row>
    <row r="408" spans="1:13" s="53" customFormat="1" ht="65.25" customHeight="1">
      <c r="A408" s="262"/>
      <c r="B408" s="265"/>
      <c r="C408" s="263"/>
      <c r="D408" s="264"/>
      <c r="E408" s="161" t="s">
        <v>132</v>
      </c>
      <c r="F408" s="130">
        <v>3384</v>
      </c>
      <c r="G408" s="143"/>
      <c r="H408" s="117">
        <f t="shared" si="13"/>
        <v>3384</v>
      </c>
      <c r="I408" s="84"/>
      <c r="J408" s="84"/>
      <c r="M408" s="76"/>
    </row>
    <row r="409" spans="1:13" s="84" customFormat="1" ht="31.5">
      <c r="A409" s="178"/>
      <c r="B409" s="178" t="s">
        <v>390</v>
      </c>
      <c r="C409" s="191"/>
      <c r="D409" s="179" t="s">
        <v>264</v>
      </c>
      <c r="E409" s="179"/>
      <c r="F409" s="134">
        <f>F410+F411+F412+F415+F416+F419+F420+F422+F423+F424+F425+F426+F427+F421</f>
        <v>1050427</v>
      </c>
      <c r="G409" s="134">
        <f>G410+G411+G412+G415+G416+G419+G420+G422+G423+G424+G425+G426+G427</f>
        <v>516424</v>
      </c>
      <c r="H409" s="139">
        <f>F409+G409</f>
        <v>1566851</v>
      </c>
      <c r="I409" s="83"/>
      <c r="J409" s="83"/>
      <c r="M409" s="96"/>
    </row>
    <row r="410" spans="1:13" s="84" customFormat="1" ht="49.5" customHeight="1" hidden="1">
      <c r="A410" s="184"/>
      <c r="B410" s="184" t="s">
        <v>416</v>
      </c>
      <c r="C410" s="184"/>
      <c r="D410" s="161" t="s">
        <v>417</v>
      </c>
      <c r="E410" s="160" t="s">
        <v>355</v>
      </c>
      <c r="F410" s="130"/>
      <c r="G410" s="117"/>
      <c r="H410" s="117">
        <f>F410+G410</f>
        <v>0</v>
      </c>
      <c r="J410" s="83"/>
      <c r="L410" s="83"/>
      <c r="M410" s="96"/>
    </row>
    <row r="411" spans="1:13" s="84" customFormat="1" ht="49.5" customHeight="1" hidden="1">
      <c r="A411" s="166"/>
      <c r="B411" s="166" t="s">
        <v>301</v>
      </c>
      <c r="C411" s="166"/>
      <c r="D411" s="173" t="s">
        <v>302</v>
      </c>
      <c r="E411" s="161" t="s">
        <v>569</v>
      </c>
      <c r="F411" s="130"/>
      <c r="G411" s="117"/>
      <c r="H411" s="117">
        <f aca="true" t="shared" si="14" ref="H411:H427">F411+G411</f>
        <v>0</v>
      </c>
      <c r="J411" s="83"/>
      <c r="M411" s="96"/>
    </row>
    <row r="412" spans="1:14" s="53" customFormat="1" ht="48.75" customHeight="1">
      <c r="A412" s="166"/>
      <c r="B412" s="275" t="s">
        <v>311</v>
      </c>
      <c r="C412" s="258" t="s">
        <v>187</v>
      </c>
      <c r="D412" s="266" t="s">
        <v>312</v>
      </c>
      <c r="E412" s="160" t="s">
        <v>137</v>
      </c>
      <c r="F412" s="130">
        <f>F413+F414</f>
        <v>860008</v>
      </c>
      <c r="G412" s="130"/>
      <c r="H412" s="117">
        <f t="shared" si="14"/>
        <v>860008</v>
      </c>
      <c r="I412" s="84"/>
      <c r="J412" s="84"/>
      <c r="M412" s="94"/>
      <c r="N412" s="81"/>
    </row>
    <row r="413" spans="1:14" s="53" customFormat="1" ht="23.25" customHeight="1">
      <c r="A413" s="165"/>
      <c r="B413" s="276"/>
      <c r="C413" s="261"/>
      <c r="D413" s="269"/>
      <c r="E413" s="205" t="s">
        <v>360</v>
      </c>
      <c r="F413" s="130">
        <f>108435+685928</f>
        <v>794363</v>
      </c>
      <c r="G413" s="117"/>
      <c r="H413" s="117">
        <f t="shared" si="14"/>
        <v>794363</v>
      </c>
      <c r="I413" s="84"/>
      <c r="J413" s="84"/>
      <c r="M413" s="94"/>
      <c r="N413" s="81"/>
    </row>
    <row r="414" spans="1:14" s="53" customFormat="1" ht="27.75" customHeight="1">
      <c r="A414" s="169"/>
      <c r="B414" s="277"/>
      <c r="C414" s="263"/>
      <c r="D414" s="267"/>
      <c r="E414" s="118" t="s">
        <v>358</v>
      </c>
      <c r="F414" s="130">
        <v>65645</v>
      </c>
      <c r="G414" s="117"/>
      <c r="H414" s="117">
        <f t="shared" si="14"/>
        <v>65645</v>
      </c>
      <c r="I414" s="84"/>
      <c r="J414" s="84"/>
      <c r="M414" s="94"/>
      <c r="N414" s="81"/>
    </row>
    <row r="415" spans="1:14" s="53" customFormat="1" ht="73.5" customHeight="1" hidden="1">
      <c r="A415" s="165"/>
      <c r="B415" s="165" t="s">
        <v>305</v>
      </c>
      <c r="C415" s="165"/>
      <c r="D415" s="172" t="s">
        <v>306</v>
      </c>
      <c r="E415" s="161" t="s">
        <v>225</v>
      </c>
      <c r="F415" s="130"/>
      <c r="G415" s="117"/>
      <c r="H415" s="117">
        <f t="shared" si="14"/>
        <v>0</v>
      </c>
      <c r="I415" s="84"/>
      <c r="J415" s="84"/>
      <c r="M415" s="94"/>
      <c r="N415" s="81"/>
    </row>
    <row r="416" spans="1:13" s="53" customFormat="1" ht="42" customHeight="1">
      <c r="A416" s="166"/>
      <c r="B416" s="275" t="s">
        <v>288</v>
      </c>
      <c r="C416" s="258" t="s">
        <v>160</v>
      </c>
      <c r="D416" s="266" t="s">
        <v>475</v>
      </c>
      <c r="E416" s="161" t="s">
        <v>151</v>
      </c>
      <c r="F416" s="130"/>
      <c r="G416" s="117">
        <f>G417+G418</f>
        <v>66434</v>
      </c>
      <c r="H416" s="117">
        <f t="shared" si="14"/>
        <v>66434</v>
      </c>
      <c r="I416" s="84"/>
      <c r="J416" s="83"/>
      <c r="M416" s="76"/>
    </row>
    <row r="417" spans="1:13" s="53" customFormat="1" ht="23.25" customHeight="1">
      <c r="A417" s="165"/>
      <c r="B417" s="276"/>
      <c r="C417" s="261"/>
      <c r="D417" s="269"/>
      <c r="E417" s="205" t="s">
        <v>360</v>
      </c>
      <c r="F417" s="130"/>
      <c r="G417" s="117">
        <f>45838+16434</f>
        <v>62272</v>
      </c>
      <c r="H417" s="117">
        <f t="shared" si="14"/>
        <v>62272</v>
      </c>
      <c r="I417" s="84"/>
      <c r="J417" s="83"/>
      <c r="M417" s="76"/>
    </row>
    <row r="418" spans="1:13" s="53" customFormat="1" ht="21" customHeight="1">
      <c r="A418" s="169"/>
      <c r="B418" s="277"/>
      <c r="C418" s="263"/>
      <c r="D418" s="267"/>
      <c r="E418" s="118" t="s">
        <v>358</v>
      </c>
      <c r="F418" s="130"/>
      <c r="G418" s="117">
        <v>4162</v>
      </c>
      <c r="H418" s="117">
        <f t="shared" si="14"/>
        <v>4162</v>
      </c>
      <c r="I418" s="84"/>
      <c r="J418" s="83"/>
      <c r="M418" s="76"/>
    </row>
    <row r="419" spans="1:14" s="53" customFormat="1" ht="50.25" customHeight="1">
      <c r="A419" s="262"/>
      <c r="B419" s="265" t="s">
        <v>294</v>
      </c>
      <c r="C419" s="258" t="s">
        <v>160</v>
      </c>
      <c r="D419" s="264" t="s">
        <v>309</v>
      </c>
      <c r="E419" s="161" t="s">
        <v>226</v>
      </c>
      <c r="F419" s="130">
        <v>94521</v>
      </c>
      <c r="G419" s="143"/>
      <c r="H419" s="117">
        <f t="shared" si="14"/>
        <v>94521</v>
      </c>
      <c r="I419" s="84"/>
      <c r="J419" s="84"/>
      <c r="M419" s="94"/>
      <c r="N419" s="81"/>
    </row>
    <row r="420" spans="1:13" s="53" customFormat="1" ht="50.25" customHeight="1">
      <c r="A420" s="262"/>
      <c r="B420" s="265"/>
      <c r="C420" s="261"/>
      <c r="D420" s="264"/>
      <c r="E420" s="161" t="s">
        <v>149</v>
      </c>
      <c r="F420" s="130">
        <v>25366</v>
      </c>
      <c r="G420" s="143"/>
      <c r="H420" s="117">
        <f t="shared" si="14"/>
        <v>25366</v>
      </c>
      <c r="I420" s="84"/>
      <c r="J420" s="84"/>
      <c r="M420" s="76"/>
    </row>
    <row r="421" spans="1:13" s="53" customFormat="1" ht="50.25" customHeight="1">
      <c r="A421" s="262"/>
      <c r="B421" s="265"/>
      <c r="C421" s="261"/>
      <c r="D421" s="264"/>
      <c r="E421" s="161" t="s">
        <v>196</v>
      </c>
      <c r="F421" s="130">
        <v>20000</v>
      </c>
      <c r="G421" s="143"/>
      <c r="H421" s="117">
        <f t="shared" si="14"/>
        <v>20000</v>
      </c>
      <c r="I421" s="84"/>
      <c r="J421" s="84"/>
      <c r="M421" s="76"/>
    </row>
    <row r="422" spans="1:13" s="53" customFormat="1" ht="66" customHeight="1">
      <c r="A422" s="262"/>
      <c r="B422" s="265"/>
      <c r="C422" s="263"/>
      <c r="D422" s="264"/>
      <c r="E422" s="161" t="s">
        <v>153</v>
      </c>
      <c r="F422" s="130">
        <v>50532</v>
      </c>
      <c r="G422" s="143"/>
      <c r="H422" s="117">
        <f t="shared" si="14"/>
        <v>50532</v>
      </c>
      <c r="I422" s="84"/>
      <c r="J422" s="84"/>
      <c r="M422" s="76"/>
    </row>
    <row r="423" spans="1:13" s="53" customFormat="1" ht="69.75" customHeight="1" hidden="1">
      <c r="A423" s="262"/>
      <c r="B423" s="265"/>
      <c r="C423" s="165"/>
      <c r="D423" s="264"/>
      <c r="E423" s="161" t="s">
        <v>231</v>
      </c>
      <c r="F423" s="130"/>
      <c r="G423" s="143"/>
      <c r="H423" s="117">
        <f t="shared" si="14"/>
        <v>0</v>
      </c>
      <c r="I423" s="84"/>
      <c r="J423" s="84"/>
      <c r="M423" s="76"/>
    </row>
    <row r="424" spans="1:13" s="53" customFormat="1" ht="69.75" customHeight="1" hidden="1">
      <c r="A424" s="262"/>
      <c r="B424" s="265"/>
      <c r="C424" s="165"/>
      <c r="D424" s="264"/>
      <c r="E424" s="161" t="s">
        <v>337</v>
      </c>
      <c r="F424" s="130"/>
      <c r="G424" s="143"/>
      <c r="H424" s="117">
        <f t="shared" si="14"/>
        <v>0</v>
      </c>
      <c r="I424" s="84"/>
      <c r="J424" s="84"/>
      <c r="M424" s="76"/>
    </row>
    <row r="425" spans="1:13" s="53" customFormat="1" ht="53.25" customHeight="1" hidden="1">
      <c r="A425" s="262"/>
      <c r="B425" s="265"/>
      <c r="C425" s="165"/>
      <c r="D425" s="264"/>
      <c r="E425" s="161" t="s">
        <v>569</v>
      </c>
      <c r="F425" s="130"/>
      <c r="G425" s="143"/>
      <c r="H425" s="117">
        <f t="shared" si="14"/>
        <v>0</v>
      </c>
      <c r="I425" s="84"/>
      <c r="J425" s="84"/>
      <c r="M425" s="76"/>
    </row>
    <row r="426" spans="1:13" s="53" customFormat="1" ht="69" customHeight="1" hidden="1">
      <c r="A426" s="262"/>
      <c r="B426" s="265"/>
      <c r="C426" s="169"/>
      <c r="D426" s="264"/>
      <c r="E426" s="161" t="s">
        <v>371</v>
      </c>
      <c r="F426" s="130"/>
      <c r="G426" s="143"/>
      <c r="H426" s="117">
        <f t="shared" si="14"/>
        <v>0</v>
      </c>
      <c r="I426" s="84"/>
      <c r="J426" s="84"/>
      <c r="M426" s="76"/>
    </row>
    <row r="427" spans="1:13" s="53" customFormat="1" ht="60.75" customHeight="1">
      <c r="A427" s="184"/>
      <c r="B427" s="202" t="s">
        <v>301</v>
      </c>
      <c r="C427" s="169" t="s">
        <v>159</v>
      </c>
      <c r="D427" s="160" t="s">
        <v>302</v>
      </c>
      <c r="E427" s="161" t="s">
        <v>137</v>
      </c>
      <c r="F427" s="130"/>
      <c r="G427" s="143">
        <f>(449990)</f>
        <v>449990</v>
      </c>
      <c r="H427" s="117">
        <f t="shared" si="14"/>
        <v>449990</v>
      </c>
      <c r="I427" s="84"/>
      <c r="J427" s="84"/>
      <c r="M427" s="76"/>
    </row>
    <row r="428" spans="1:13" s="53" customFormat="1" ht="46.5" customHeight="1">
      <c r="A428" s="178"/>
      <c r="B428" s="178" t="s">
        <v>391</v>
      </c>
      <c r="C428" s="178"/>
      <c r="D428" s="179" t="s">
        <v>265</v>
      </c>
      <c r="E428" s="161"/>
      <c r="F428" s="134">
        <f>F429+F430+F431+F434+F435+F436+F437+F439+F440+F442+F441+F443</f>
        <v>995877</v>
      </c>
      <c r="G428" s="134">
        <f>G429+G430+G431+G434+G435+G436+G437+G439+G440+G442+G441+G443</f>
        <v>526000</v>
      </c>
      <c r="H428" s="134">
        <f>H429+H430+H431+H434+H435+H436+H437+H439+H440+H442+H441+H443</f>
        <v>1521877</v>
      </c>
      <c r="I428" s="83"/>
      <c r="J428" s="83"/>
      <c r="M428" s="76"/>
    </row>
    <row r="429" spans="1:13" s="53" customFormat="1" ht="75" customHeight="1" hidden="1">
      <c r="A429" s="262"/>
      <c r="B429" s="265" t="s">
        <v>416</v>
      </c>
      <c r="C429" s="166"/>
      <c r="D429" s="264" t="s">
        <v>417</v>
      </c>
      <c r="E429" s="161" t="s">
        <v>371</v>
      </c>
      <c r="F429" s="130"/>
      <c r="G429" s="134"/>
      <c r="H429" s="117">
        <f>F429+G429</f>
        <v>0</v>
      </c>
      <c r="I429" s="83"/>
      <c r="J429" s="83"/>
      <c r="M429" s="76"/>
    </row>
    <row r="430" spans="1:13" s="53" customFormat="1" ht="31.5" customHeight="1" hidden="1">
      <c r="A430" s="258"/>
      <c r="B430" s="278"/>
      <c r="C430" s="165"/>
      <c r="D430" s="268"/>
      <c r="E430" s="160" t="s">
        <v>355</v>
      </c>
      <c r="F430" s="130"/>
      <c r="G430" s="117"/>
      <c r="H430" s="117">
        <f aca="true" t="shared" si="15" ref="H430:H443">F430+G430</f>
        <v>0</v>
      </c>
      <c r="I430" s="84"/>
      <c r="J430" s="83"/>
      <c r="M430" s="76"/>
    </row>
    <row r="431" spans="1:14" s="53" customFormat="1" ht="50.25" customHeight="1">
      <c r="A431" s="167"/>
      <c r="B431" s="278" t="s">
        <v>311</v>
      </c>
      <c r="C431" s="258" t="s">
        <v>187</v>
      </c>
      <c r="D431" s="266" t="s">
        <v>312</v>
      </c>
      <c r="E431" s="160" t="s">
        <v>150</v>
      </c>
      <c r="F431" s="130">
        <f>F432+F433</f>
        <v>687883</v>
      </c>
      <c r="G431" s="117"/>
      <c r="H431" s="117">
        <f t="shared" si="15"/>
        <v>687883</v>
      </c>
      <c r="I431" s="84"/>
      <c r="J431" s="83"/>
      <c r="M431" s="94"/>
      <c r="N431" s="81"/>
    </row>
    <row r="432" spans="1:14" s="53" customFormat="1" ht="27" customHeight="1">
      <c r="A432" s="168"/>
      <c r="B432" s="252"/>
      <c r="C432" s="261"/>
      <c r="D432" s="269"/>
      <c r="E432" s="205" t="s">
        <v>360</v>
      </c>
      <c r="F432" s="130">
        <f>30000+620072</f>
        <v>650072</v>
      </c>
      <c r="G432" s="117"/>
      <c r="H432" s="117">
        <f t="shared" si="15"/>
        <v>650072</v>
      </c>
      <c r="I432" s="84"/>
      <c r="J432" s="83"/>
      <c r="M432" s="94"/>
      <c r="N432" s="81"/>
    </row>
    <row r="433" spans="1:14" s="53" customFormat="1" ht="27" customHeight="1">
      <c r="A433" s="170"/>
      <c r="B433" s="253"/>
      <c r="C433" s="263"/>
      <c r="D433" s="267"/>
      <c r="E433" s="118" t="s">
        <v>358</v>
      </c>
      <c r="F433" s="130">
        <v>37811</v>
      </c>
      <c r="G433" s="117"/>
      <c r="H433" s="117">
        <f t="shared" si="15"/>
        <v>37811</v>
      </c>
      <c r="I433" s="84"/>
      <c r="J433" s="83"/>
      <c r="M433" s="94"/>
      <c r="N433" s="81"/>
    </row>
    <row r="434" spans="1:14" s="53" customFormat="1" ht="73.5" customHeight="1" hidden="1">
      <c r="A434" s="169"/>
      <c r="B434" s="169" t="s">
        <v>305</v>
      </c>
      <c r="C434" s="165"/>
      <c r="D434" s="186" t="s">
        <v>306</v>
      </c>
      <c r="E434" s="161" t="s">
        <v>225</v>
      </c>
      <c r="F434" s="130"/>
      <c r="G434" s="117"/>
      <c r="H434" s="117">
        <f t="shared" si="15"/>
        <v>0</v>
      </c>
      <c r="I434" s="84"/>
      <c r="J434" s="83"/>
      <c r="M434" s="94"/>
      <c r="N434" s="81"/>
    </row>
    <row r="435" spans="1:14" s="53" customFormat="1" ht="47.25">
      <c r="A435" s="262"/>
      <c r="B435" s="265" t="s">
        <v>294</v>
      </c>
      <c r="C435" s="258" t="s">
        <v>160</v>
      </c>
      <c r="D435" s="264" t="s">
        <v>309</v>
      </c>
      <c r="E435" s="161" t="s">
        <v>226</v>
      </c>
      <c r="F435" s="130">
        <v>132330</v>
      </c>
      <c r="G435" s="143"/>
      <c r="H435" s="117">
        <f t="shared" si="15"/>
        <v>132330</v>
      </c>
      <c r="I435" s="84"/>
      <c r="J435" s="84"/>
      <c r="M435" s="94"/>
      <c r="N435" s="81"/>
    </row>
    <row r="436" spans="1:13" s="53" customFormat="1" ht="47.25">
      <c r="A436" s="262"/>
      <c r="B436" s="265"/>
      <c r="C436" s="261"/>
      <c r="D436" s="264"/>
      <c r="E436" s="161" t="s">
        <v>149</v>
      </c>
      <c r="F436" s="130">
        <v>80000</v>
      </c>
      <c r="G436" s="143"/>
      <c r="H436" s="117">
        <f t="shared" si="15"/>
        <v>80000</v>
      </c>
      <c r="I436" s="84"/>
      <c r="J436" s="84"/>
      <c r="M436" s="76"/>
    </row>
    <row r="437" spans="1:13" s="53" customFormat="1" ht="63">
      <c r="A437" s="262"/>
      <c r="B437" s="265"/>
      <c r="C437" s="261"/>
      <c r="D437" s="264"/>
      <c r="E437" s="161" t="s">
        <v>153</v>
      </c>
      <c r="F437" s="130">
        <v>73630</v>
      </c>
      <c r="G437" s="143"/>
      <c r="H437" s="117">
        <f t="shared" si="15"/>
        <v>73630</v>
      </c>
      <c r="I437" s="84"/>
      <c r="J437" s="84"/>
      <c r="M437" s="76"/>
    </row>
    <row r="438" spans="1:13" s="53" customFormat="1" ht="47.25" customHeight="1" hidden="1">
      <c r="A438" s="262"/>
      <c r="B438" s="265"/>
      <c r="C438" s="261"/>
      <c r="D438" s="264"/>
      <c r="E438" s="161" t="s">
        <v>231</v>
      </c>
      <c r="F438" s="130"/>
      <c r="G438" s="143"/>
      <c r="H438" s="117">
        <f t="shared" si="15"/>
        <v>0</v>
      </c>
      <c r="I438" s="84"/>
      <c r="J438" s="84"/>
      <c r="M438" s="76"/>
    </row>
    <row r="439" spans="1:13" s="53" customFormat="1" ht="47.25" customHeight="1" hidden="1">
      <c r="A439" s="262"/>
      <c r="B439" s="265"/>
      <c r="C439" s="261"/>
      <c r="D439" s="264"/>
      <c r="E439" s="161" t="s">
        <v>337</v>
      </c>
      <c r="F439" s="130"/>
      <c r="G439" s="143"/>
      <c r="H439" s="117">
        <f t="shared" si="15"/>
        <v>0</v>
      </c>
      <c r="I439" s="84"/>
      <c r="J439" s="84"/>
      <c r="M439" s="76"/>
    </row>
    <row r="440" spans="1:13" s="53" customFormat="1" ht="47.25" customHeight="1" hidden="1">
      <c r="A440" s="262"/>
      <c r="B440" s="265"/>
      <c r="C440" s="261"/>
      <c r="D440" s="264"/>
      <c r="E440" s="161" t="s">
        <v>569</v>
      </c>
      <c r="F440" s="130"/>
      <c r="G440" s="143"/>
      <c r="H440" s="117">
        <f t="shared" si="15"/>
        <v>0</v>
      </c>
      <c r="I440" s="84"/>
      <c r="J440" s="84"/>
      <c r="M440" s="76"/>
    </row>
    <row r="441" spans="1:13" s="53" customFormat="1" ht="47.25" customHeight="1">
      <c r="A441" s="262"/>
      <c r="B441" s="265"/>
      <c r="C441" s="261"/>
      <c r="D441" s="264"/>
      <c r="E441" s="161" t="s">
        <v>196</v>
      </c>
      <c r="F441" s="130">
        <v>20000</v>
      </c>
      <c r="G441" s="143"/>
      <c r="H441" s="117">
        <f t="shared" si="15"/>
        <v>20000</v>
      </c>
      <c r="I441" s="84"/>
      <c r="J441" s="84"/>
      <c r="M441" s="76"/>
    </row>
    <row r="442" spans="1:13" s="53" customFormat="1" ht="63" customHeight="1">
      <c r="A442" s="262"/>
      <c r="B442" s="265"/>
      <c r="C442" s="263"/>
      <c r="D442" s="264"/>
      <c r="E442" s="161" t="s">
        <v>132</v>
      </c>
      <c r="F442" s="130">
        <v>2034</v>
      </c>
      <c r="G442" s="143"/>
      <c r="H442" s="117">
        <f t="shared" si="15"/>
        <v>2034</v>
      </c>
      <c r="I442" s="84"/>
      <c r="J442" s="84"/>
      <c r="M442" s="76"/>
    </row>
    <row r="443" spans="1:13" s="53" customFormat="1" ht="63" customHeight="1">
      <c r="A443" s="184"/>
      <c r="B443" s="202" t="s">
        <v>301</v>
      </c>
      <c r="C443" s="169" t="s">
        <v>159</v>
      </c>
      <c r="D443" s="160" t="s">
        <v>302</v>
      </c>
      <c r="E443" s="161" t="s">
        <v>137</v>
      </c>
      <c r="F443" s="130"/>
      <c r="G443" s="143">
        <f>(526000)</f>
        <v>526000</v>
      </c>
      <c r="H443" s="117">
        <f t="shared" si="15"/>
        <v>526000</v>
      </c>
      <c r="I443" s="84"/>
      <c r="J443" s="84"/>
      <c r="M443" s="76"/>
    </row>
    <row r="444" spans="1:13" s="85" customFormat="1" ht="21" customHeight="1">
      <c r="A444" s="179"/>
      <c r="B444" s="179"/>
      <c r="C444" s="193"/>
      <c r="D444" s="179" t="s">
        <v>283</v>
      </c>
      <c r="E444" s="179"/>
      <c r="F444" s="139">
        <f>F11+F32+F106+F142+F172+F174+F201+F210+F255+F258+F267+F270+F278+F297+F305+F314+F325+F341+F356+F374+F391+F409+F428+F321</f>
        <v>472993027</v>
      </c>
      <c r="G444" s="139">
        <f>G11+G32+G106+G142+G172+G174+G201+G210+G255+G258+G267+G270+G278+G297+G305+G314+G325+G341+G356+G374+G391+G409+G428+G321</f>
        <v>682786561</v>
      </c>
      <c r="H444" s="139">
        <f>H11+H32+H106+H142+H172+H174+H201+H210+H255+H258+H267+H270+H278+H297+H305+H314+H325+H341+H356+H374+H391+H409+H428+H321</f>
        <v>1155779588</v>
      </c>
      <c r="I444" s="107"/>
      <c r="J444" s="107"/>
      <c r="K444" s="86"/>
      <c r="M444" s="97"/>
    </row>
    <row r="445" spans="1:14" ht="15" customHeight="1">
      <c r="A445" s="87"/>
      <c r="B445" s="87"/>
      <c r="C445" s="87"/>
      <c r="D445" s="87"/>
      <c r="E445" s="225"/>
      <c r="F445" s="88"/>
      <c r="G445" s="88"/>
      <c r="H445" s="88"/>
      <c r="N445" s="89"/>
    </row>
    <row r="446" spans="1:13" s="120" customFormat="1" ht="35.25" customHeight="1">
      <c r="A446" s="239" t="s">
        <v>451</v>
      </c>
      <c r="B446" s="239"/>
      <c r="C446" s="239"/>
      <c r="D446" s="239"/>
      <c r="E446" s="226"/>
      <c r="F446" s="125"/>
      <c r="G446" s="126" t="s">
        <v>452</v>
      </c>
      <c r="I446" s="121"/>
      <c r="J446" s="122"/>
      <c r="M446" s="123"/>
    </row>
    <row r="447" spans="7:8" ht="18" customHeight="1">
      <c r="G447" s="85"/>
      <c r="H447" s="86"/>
    </row>
    <row r="448" spans="5:13" ht="18" customHeight="1">
      <c r="E448" s="100"/>
      <c r="F448" s="100"/>
      <c r="I448" s="92"/>
      <c r="J448" s="75"/>
      <c r="M448" s="75"/>
    </row>
    <row r="449" spans="5:13" ht="18" customHeight="1">
      <c r="E449" s="100"/>
      <c r="I449" s="75"/>
      <c r="J449" s="75"/>
      <c r="M449" s="75"/>
    </row>
    <row r="450" spans="5:13" ht="18" customHeight="1">
      <c r="E450" s="100"/>
      <c r="I450" s="75"/>
      <c r="J450" s="75"/>
      <c r="M450" s="75"/>
    </row>
    <row r="451" spans="5:13" ht="15.75">
      <c r="E451" s="100"/>
      <c r="I451" s="75"/>
      <c r="J451" s="75"/>
      <c r="M451" s="75"/>
    </row>
    <row r="452" spans="5:13" ht="15.75">
      <c r="E452" s="100"/>
      <c r="I452" s="75"/>
      <c r="J452" s="75"/>
      <c r="M452" s="75"/>
    </row>
    <row r="453" spans="5:13" ht="15.75">
      <c r="E453" s="100"/>
      <c r="I453" s="75"/>
      <c r="J453" s="75"/>
      <c r="M453" s="75"/>
    </row>
    <row r="454" spans="5:13" ht="15.75">
      <c r="E454" s="100"/>
      <c r="I454" s="75"/>
      <c r="J454" s="75"/>
      <c r="M454" s="75"/>
    </row>
    <row r="455" spans="5:13" ht="15.75">
      <c r="E455" s="100"/>
      <c r="I455" s="75"/>
      <c r="J455" s="75"/>
      <c r="M455" s="75"/>
    </row>
    <row r="456" spans="5:13" ht="15.75">
      <c r="E456" s="100"/>
      <c r="I456" s="75"/>
      <c r="J456" s="75"/>
      <c r="M456" s="75"/>
    </row>
    <row r="457" spans="5:13" ht="15.75">
      <c r="E457" s="100"/>
      <c r="I457" s="75"/>
      <c r="J457" s="75"/>
      <c r="M457" s="75"/>
    </row>
    <row r="458" spans="5:13" ht="23.25" customHeight="1">
      <c r="E458" s="103"/>
      <c r="I458" s="75"/>
      <c r="J458" s="75"/>
      <c r="M458" s="75"/>
    </row>
    <row r="459" spans="5:13" ht="15.75">
      <c r="E459" s="100"/>
      <c r="I459" s="75"/>
      <c r="J459" s="75"/>
      <c r="M459" s="75"/>
    </row>
    <row r="460" spans="5:13" ht="15.75">
      <c r="E460" s="100"/>
      <c r="I460" s="75"/>
      <c r="J460" s="75"/>
      <c r="M460" s="75"/>
    </row>
    <row r="461" spans="5:13" ht="15.75">
      <c r="E461" s="100"/>
      <c r="I461" s="75"/>
      <c r="J461" s="75"/>
      <c r="M461" s="75"/>
    </row>
    <row r="462" spans="5:13" ht="15.75">
      <c r="E462" s="100"/>
      <c r="I462" s="75"/>
      <c r="J462" s="75"/>
      <c r="M462" s="75"/>
    </row>
    <row r="463" spans="5:13" ht="15.75">
      <c r="E463" s="100"/>
      <c r="I463" s="75"/>
      <c r="J463" s="75"/>
      <c r="M463" s="75"/>
    </row>
    <row r="464" spans="5:13" ht="15.75">
      <c r="E464" s="100"/>
      <c r="I464" s="75"/>
      <c r="J464" s="75"/>
      <c r="M464" s="75"/>
    </row>
    <row r="465" spans="5:13" ht="15.75">
      <c r="E465" s="75"/>
      <c r="I465" s="75"/>
      <c r="J465" s="75"/>
      <c r="M465" s="75"/>
    </row>
    <row r="466" spans="5:13" ht="15.75">
      <c r="E466" s="75"/>
      <c r="I466" s="75"/>
      <c r="J466" s="75"/>
      <c r="M466" s="75"/>
    </row>
    <row r="467" spans="5:13" ht="15.75">
      <c r="E467" s="75"/>
      <c r="I467" s="75"/>
      <c r="J467" s="75"/>
      <c r="M467" s="75"/>
    </row>
    <row r="468" spans="5:13" ht="15.75">
      <c r="E468" s="75"/>
      <c r="I468" s="75"/>
      <c r="J468" s="75"/>
      <c r="M468" s="75"/>
    </row>
    <row r="469" spans="5:13" ht="15.75">
      <c r="E469" s="75"/>
      <c r="I469" s="75"/>
      <c r="J469" s="75"/>
      <c r="M469" s="75"/>
    </row>
    <row r="470" spans="5:13" ht="15.75">
      <c r="E470" s="75"/>
      <c r="I470" s="75"/>
      <c r="J470" s="75"/>
      <c r="M470" s="75"/>
    </row>
    <row r="471" spans="5:13" ht="15.75">
      <c r="E471" s="75"/>
      <c r="I471" s="75"/>
      <c r="J471" s="75"/>
      <c r="M471" s="75"/>
    </row>
    <row r="472" spans="5:13" ht="15.75">
      <c r="E472" s="75"/>
      <c r="I472" s="75"/>
      <c r="J472" s="75"/>
      <c r="M472" s="75"/>
    </row>
    <row r="473" spans="5:13" ht="15.75">
      <c r="E473" s="75"/>
      <c r="I473" s="75"/>
      <c r="J473" s="75"/>
      <c r="M473" s="75"/>
    </row>
    <row r="474" spans="5:13" ht="15.75">
      <c r="E474" s="75"/>
      <c r="I474" s="75"/>
      <c r="J474" s="75"/>
      <c r="M474" s="75"/>
    </row>
    <row r="475" spans="5:13" ht="15.75">
      <c r="E475" s="75"/>
      <c r="I475" s="75"/>
      <c r="J475" s="75"/>
      <c r="M475" s="75"/>
    </row>
    <row r="476" spans="5:13" ht="15.75">
      <c r="E476" s="75"/>
      <c r="I476" s="75"/>
      <c r="J476" s="75"/>
      <c r="M476" s="75"/>
    </row>
    <row r="477" spans="5:13" ht="15.75">
      <c r="E477" s="75"/>
      <c r="I477" s="75"/>
      <c r="J477" s="75"/>
      <c r="M477" s="75"/>
    </row>
    <row r="478" spans="5:13" ht="15.75">
      <c r="E478" s="75"/>
      <c r="I478" s="75"/>
      <c r="J478" s="75"/>
      <c r="M478" s="75"/>
    </row>
    <row r="479" spans="5:13" ht="15.75">
      <c r="E479" s="75"/>
      <c r="I479" s="75"/>
      <c r="J479" s="75"/>
      <c r="M479" s="75"/>
    </row>
    <row r="480" spans="5:13" ht="15.75">
      <c r="E480" s="75"/>
      <c r="I480" s="75"/>
      <c r="J480" s="75"/>
      <c r="M480" s="75"/>
    </row>
    <row r="481" spans="5:13" ht="15.75">
      <c r="E481" s="100"/>
      <c r="F481" s="100"/>
      <c r="I481" s="75"/>
      <c r="J481" s="75"/>
      <c r="M481" s="75"/>
    </row>
    <row r="482" spans="5:13" ht="15.75">
      <c r="E482" s="100"/>
      <c r="F482" s="100"/>
      <c r="I482" s="75"/>
      <c r="J482" s="75"/>
      <c r="M482" s="75"/>
    </row>
    <row r="483" spans="5:13" ht="15.75">
      <c r="E483" s="100"/>
      <c r="F483" s="100"/>
      <c r="I483" s="75"/>
      <c r="J483" s="75"/>
      <c r="M483" s="75"/>
    </row>
    <row r="484" spans="5:13" ht="15.75">
      <c r="E484" s="100"/>
      <c r="F484" s="100"/>
      <c r="I484" s="75"/>
      <c r="J484" s="75"/>
      <c r="M484" s="75"/>
    </row>
    <row r="485" spans="5:13" ht="15.75">
      <c r="E485" s="100"/>
      <c r="F485" s="100"/>
      <c r="I485" s="75"/>
      <c r="J485" s="75"/>
      <c r="M485" s="75"/>
    </row>
    <row r="486" spans="5:13" ht="15.75">
      <c r="E486" s="100"/>
      <c r="F486" s="100"/>
      <c r="I486" s="75"/>
      <c r="J486" s="75"/>
      <c r="M486" s="75"/>
    </row>
    <row r="487" spans="5:13" ht="15.75">
      <c r="E487" s="103"/>
      <c r="F487" s="103"/>
      <c r="I487" s="75"/>
      <c r="J487" s="75"/>
      <c r="M487" s="75"/>
    </row>
    <row r="488" spans="5:13" ht="15.75">
      <c r="E488" s="100"/>
      <c r="F488" s="100"/>
      <c r="I488" s="75"/>
      <c r="J488" s="75"/>
      <c r="M488" s="75"/>
    </row>
    <row r="489" spans="5:13" ht="15.75">
      <c r="E489" s="100"/>
      <c r="F489" s="100"/>
      <c r="I489" s="75"/>
      <c r="J489" s="75"/>
      <c r="M489" s="75"/>
    </row>
    <row r="490" spans="5:13" ht="15.75">
      <c r="E490" s="100"/>
      <c r="F490" s="100"/>
      <c r="I490" s="75"/>
      <c r="J490" s="75"/>
      <c r="M490" s="75"/>
    </row>
    <row r="491" spans="5:13" ht="15.75">
      <c r="E491" s="100"/>
      <c r="F491" s="100"/>
      <c r="I491" s="75"/>
      <c r="J491" s="75"/>
      <c r="M491" s="75"/>
    </row>
    <row r="492" spans="5:13" ht="15.75">
      <c r="E492" s="100"/>
      <c r="F492" s="100"/>
      <c r="I492" s="75"/>
      <c r="J492" s="75"/>
      <c r="M492" s="75"/>
    </row>
    <row r="493" spans="5:13" ht="15.75">
      <c r="E493" s="100"/>
      <c r="F493" s="100"/>
      <c r="I493" s="75"/>
      <c r="J493" s="75"/>
      <c r="M493" s="75"/>
    </row>
    <row r="494" spans="5:13" ht="15.75">
      <c r="E494" s="100"/>
      <c r="F494" s="100"/>
      <c r="I494" s="75"/>
      <c r="J494" s="75"/>
      <c r="M494" s="75"/>
    </row>
    <row r="495" spans="5:13" ht="15.75">
      <c r="E495" s="100"/>
      <c r="F495" s="100"/>
      <c r="I495" s="75"/>
      <c r="J495" s="75"/>
      <c r="M495" s="75"/>
    </row>
    <row r="496" spans="5:13" ht="15.75">
      <c r="E496" s="100"/>
      <c r="F496" s="100"/>
      <c r="I496" s="75"/>
      <c r="J496" s="75"/>
      <c r="M496" s="75"/>
    </row>
    <row r="497" spans="5:13" ht="15.75">
      <c r="E497" s="100"/>
      <c r="F497" s="100"/>
      <c r="I497" s="92"/>
      <c r="J497" s="75"/>
      <c r="M497" s="75"/>
    </row>
    <row r="498" spans="5:13" ht="15.75">
      <c r="E498" s="100"/>
      <c r="F498" s="100"/>
      <c r="I498" s="92"/>
      <c r="J498" s="75"/>
      <c r="M498" s="75"/>
    </row>
    <row r="499" spans="5:13" ht="15.75">
      <c r="E499" s="100"/>
      <c r="F499" s="100"/>
      <c r="I499" s="92"/>
      <c r="J499" s="75"/>
      <c r="M499" s="75"/>
    </row>
    <row r="500" spans="5:13" ht="30" customHeight="1">
      <c r="E500" s="100"/>
      <c r="F500" s="100"/>
      <c r="I500" s="92"/>
      <c r="J500" s="75"/>
      <c r="M500" s="75"/>
    </row>
    <row r="501" spans="5:13" ht="33.75" customHeight="1">
      <c r="E501" s="100"/>
      <c r="F501" s="100"/>
      <c r="I501" s="92"/>
      <c r="J501" s="75"/>
      <c r="M501" s="75"/>
    </row>
    <row r="502" spans="5:13" ht="28.5" customHeight="1">
      <c r="E502" s="100"/>
      <c r="F502" s="100"/>
      <c r="I502" s="92"/>
      <c r="J502" s="75"/>
      <c r="M502" s="75"/>
    </row>
    <row r="503" spans="5:13" ht="28.5" customHeight="1">
      <c r="E503" s="100"/>
      <c r="F503" s="100"/>
      <c r="I503" s="92"/>
      <c r="J503" s="75"/>
      <c r="M503" s="75"/>
    </row>
    <row r="504" spans="5:13" ht="28.5" customHeight="1">
      <c r="E504" s="100"/>
      <c r="F504" s="100"/>
      <c r="I504" s="92"/>
      <c r="J504" s="75"/>
      <c r="M504" s="75"/>
    </row>
    <row r="505" spans="5:9" s="90" customFormat="1" ht="25.5" customHeight="1">
      <c r="E505" s="105"/>
      <c r="F505" s="105"/>
      <c r="I505" s="98"/>
    </row>
    <row r="506" spans="5:9" s="91" customFormat="1" ht="27" customHeight="1">
      <c r="E506" s="106"/>
      <c r="F506" s="106"/>
      <c r="I506" s="99"/>
    </row>
    <row r="507" spans="5:9" s="91" customFormat="1" ht="27" customHeight="1">
      <c r="E507" s="106"/>
      <c r="F507" s="106"/>
      <c r="I507" s="99"/>
    </row>
    <row r="508" s="104" customFormat="1" ht="15.75">
      <c r="I508" s="108"/>
    </row>
    <row r="509" spans="5:13" ht="27.75" customHeight="1">
      <c r="E509" s="103"/>
      <c r="F509" s="100"/>
      <c r="I509" s="92"/>
      <c r="J509" s="75"/>
      <c r="M509" s="75"/>
    </row>
    <row r="510" spans="5:13" ht="15.75">
      <c r="E510" s="103"/>
      <c r="F510" s="100"/>
      <c r="I510" s="92"/>
      <c r="J510" s="75"/>
      <c r="M510" s="75"/>
    </row>
    <row r="511" spans="5:13" ht="15.75">
      <c r="E511" s="103"/>
      <c r="F511" s="100"/>
      <c r="I511" s="92"/>
      <c r="J511" s="75"/>
      <c r="M511" s="75"/>
    </row>
    <row r="512" spans="5:13" ht="15.75">
      <c r="E512" s="103"/>
      <c r="F512" s="100"/>
      <c r="I512" s="92"/>
      <c r="J512" s="75"/>
      <c r="M512" s="75"/>
    </row>
    <row r="513" spans="5:13" ht="15.75">
      <c r="E513" s="103"/>
      <c r="F513" s="100"/>
      <c r="I513" s="92"/>
      <c r="J513" s="75"/>
      <c r="M513" s="75"/>
    </row>
    <row r="514" spans="5:13" ht="15.75">
      <c r="E514" s="103"/>
      <c r="F514" s="100"/>
      <c r="I514" s="92"/>
      <c r="J514" s="75"/>
      <c r="M514" s="75"/>
    </row>
    <row r="515" spans="5:13" ht="15.75">
      <c r="E515" s="103"/>
      <c r="F515" s="100"/>
      <c r="I515" s="92"/>
      <c r="J515" s="75"/>
      <c r="M515" s="75"/>
    </row>
    <row r="516" spans="5:13" ht="15.75">
      <c r="E516" s="119"/>
      <c r="F516" s="100"/>
      <c r="I516" s="92"/>
      <c r="J516" s="75"/>
      <c r="M516" s="75"/>
    </row>
    <row r="517" spans="5:13" ht="15.75">
      <c r="E517" s="103"/>
      <c r="F517" s="100"/>
      <c r="I517" s="92"/>
      <c r="J517" s="75"/>
      <c r="M517" s="75"/>
    </row>
    <row r="518" spans="5:13" ht="15.75">
      <c r="E518" s="103"/>
      <c r="F518" s="100"/>
      <c r="I518" s="92"/>
      <c r="J518" s="75"/>
      <c r="M518" s="75"/>
    </row>
    <row r="519" spans="5:13" ht="15.75">
      <c r="E519" s="103"/>
      <c r="F519" s="100"/>
      <c r="I519" s="92"/>
      <c r="J519" s="75"/>
      <c r="M519" s="75"/>
    </row>
    <row r="520" spans="5:13" ht="15.75">
      <c r="E520" s="103"/>
      <c r="F520" s="100"/>
      <c r="I520" s="92"/>
      <c r="J520" s="75"/>
      <c r="M520" s="75"/>
    </row>
    <row r="521" spans="5:13" ht="15.75">
      <c r="E521" s="103"/>
      <c r="F521" s="100"/>
      <c r="I521" s="92"/>
      <c r="J521" s="75"/>
      <c r="M521" s="75"/>
    </row>
    <row r="522" spans="5:13" ht="15.75">
      <c r="E522" s="103"/>
      <c r="F522" s="100"/>
      <c r="I522" s="92"/>
      <c r="J522" s="75"/>
      <c r="M522" s="75"/>
    </row>
    <row r="523" spans="5:13" ht="15.75">
      <c r="E523" s="103"/>
      <c r="F523" s="100"/>
      <c r="I523" s="92"/>
      <c r="J523" s="75"/>
      <c r="M523" s="75"/>
    </row>
    <row r="524" spans="5:13" ht="15.75">
      <c r="E524" s="103"/>
      <c r="F524" s="100"/>
      <c r="I524" s="92"/>
      <c r="J524" s="75"/>
      <c r="M524" s="75"/>
    </row>
    <row r="525" spans="5:13" ht="15.75">
      <c r="E525" s="103"/>
      <c r="F525" s="100"/>
      <c r="I525" s="92"/>
      <c r="J525" s="75"/>
      <c r="M525" s="75"/>
    </row>
    <row r="526" spans="5:13" ht="15.75">
      <c r="E526" s="103"/>
      <c r="F526" s="100"/>
      <c r="I526" s="92"/>
      <c r="J526" s="75"/>
      <c r="M526" s="75"/>
    </row>
    <row r="527" spans="5:13" ht="15.75">
      <c r="E527" s="103"/>
      <c r="F527" s="100"/>
      <c r="I527" s="92"/>
      <c r="J527" s="75"/>
      <c r="M527" s="75"/>
    </row>
    <row r="528" spans="5:13" ht="15.75">
      <c r="E528" s="103"/>
      <c r="F528" s="100"/>
      <c r="I528" s="92"/>
      <c r="J528" s="75"/>
      <c r="M528" s="75"/>
    </row>
    <row r="529" spans="5:13" ht="15.75">
      <c r="E529" s="119"/>
      <c r="F529" s="100"/>
      <c r="I529" s="92"/>
      <c r="J529" s="75"/>
      <c r="M529" s="75"/>
    </row>
    <row r="530" spans="5:13" ht="15.75">
      <c r="E530" s="103"/>
      <c r="F530" s="100"/>
      <c r="I530" s="92"/>
      <c r="J530" s="75"/>
      <c r="M530" s="75"/>
    </row>
    <row r="531" spans="5:13" ht="15.75">
      <c r="E531" s="103"/>
      <c r="F531" s="100"/>
      <c r="I531" s="92"/>
      <c r="J531" s="75"/>
      <c r="M531" s="75"/>
    </row>
    <row r="532" s="110" customFormat="1" ht="18.75">
      <c r="I532" s="111"/>
    </row>
    <row r="533" s="110" customFormat="1" ht="18.75">
      <c r="I533" s="111"/>
    </row>
    <row r="534" s="110" customFormat="1" ht="18.75">
      <c r="I534" s="111"/>
    </row>
    <row r="535" s="110" customFormat="1" ht="18.75">
      <c r="I535" s="111"/>
    </row>
    <row r="536" s="110" customFormat="1" ht="18.75">
      <c r="I536" s="111"/>
    </row>
    <row r="537" s="110" customFormat="1" ht="18.75">
      <c r="I537" s="111"/>
    </row>
    <row r="538" s="110" customFormat="1" ht="18.75">
      <c r="I538" s="111"/>
    </row>
    <row r="539" s="110" customFormat="1" ht="18.75">
      <c r="I539" s="111"/>
    </row>
    <row r="540" s="110" customFormat="1" ht="18.75">
      <c r="I540" s="111"/>
    </row>
    <row r="541" s="110" customFormat="1" ht="18.75">
      <c r="I541" s="111"/>
    </row>
    <row r="542" s="110" customFormat="1" ht="16.5" customHeight="1">
      <c r="I542" s="111"/>
    </row>
    <row r="543" s="110" customFormat="1" ht="16.5" customHeight="1">
      <c r="I543" s="111"/>
    </row>
    <row r="544" s="110" customFormat="1" ht="16.5" customHeight="1">
      <c r="I544" s="111"/>
    </row>
    <row r="545" s="127" customFormat="1" ht="16.5" customHeight="1">
      <c r="I545" s="128"/>
    </row>
    <row r="546" spans="5:9" s="127" customFormat="1" ht="16.5" customHeight="1">
      <c r="E546" s="159"/>
      <c r="I546" s="128"/>
    </row>
    <row r="547" spans="5:9" s="127" customFormat="1" ht="16.5" customHeight="1">
      <c r="E547" s="159"/>
      <c r="I547" s="128"/>
    </row>
    <row r="548" spans="5:9" s="127" customFormat="1" ht="16.5" customHeight="1">
      <c r="E548" s="119"/>
      <c r="I548" s="128"/>
    </row>
    <row r="549" s="127" customFormat="1" ht="16.5" customHeight="1">
      <c r="I549" s="128"/>
    </row>
    <row r="550" s="127" customFormat="1" ht="16.5" customHeight="1">
      <c r="I550" s="128"/>
    </row>
    <row r="551" spans="5:9" s="127" customFormat="1" ht="16.5" customHeight="1">
      <c r="E551" s="159"/>
      <c r="I551" s="128"/>
    </row>
    <row r="552" s="127" customFormat="1" ht="16.5" customHeight="1">
      <c r="I552" s="128"/>
    </row>
    <row r="553" s="127" customFormat="1" ht="16.5" customHeight="1">
      <c r="I553" s="128"/>
    </row>
    <row r="554" s="127" customFormat="1" ht="16.5" customHeight="1">
      <c r="I554" s="128"/>
    </row>
    <row r="555" s="127" customFormat="1" ht="16.5" customHeight="1">
      <c r="I555" s="128"/>
    </row>
    <row r="556" s="127" customFormat="1" ht="16.5" customHeight="1">
      <c r="I556" s="128"/>
    </row>
    <row r="557" spans="6:8" ht="15.75">
      <c r="F557" s="158"/>
      <c r="G557" s="158"/>
      <c r="H557" s="158"/>
    </row>
  </sheetData>
  <sheetProtection/>
  <mergeCells count="299">
    <mergeCell ref="C35:C40"/>
    <mergeCell ref="C41:C47"/>
    <mergeCell ref="C48:C51"/>
    <mergeCell ref="C160:C163"/>
    <mergeCell ref="C158:C159"/>
    <mergeCell ref="C143:C146"/>
    <mergeCell ref="C64:C66"/>
    <mergeCell ref="C67:C69"/>
    <mergeCell ref="C70:C71"/>
    <mergeCell ref="C73:C75"/>
    <mergeCell ref="C84:C87"/>
    <mergeCell ref="C88:C94"/>
    <mergeCell ref="C129:C134"/>
    <mergeCell ref="C139:C141"/>
    <mergeCell ref="C148:C150"/>
    <mergeCell ref="C151:C157"/>
    <mergeCell ref="C232:C234"/>
    <mergeCell ref="C284:C291"/>
    <mergeCell ref="C307:C309"/>
    <mergeCell ref="C177:C182"/>
    <mergeCell ref="C187:C190"/>
    <mergeCell ref="C193:C197"/>
    <mergeCell ref="C208:C209"/>
    <mergeCell ref="C274:C276"/>
    <mergeCell ref="C227:C231"/>
    <mergeCell ref="C239:C241"/>
    <mergeCell ref="C242:C245"/>
    <mergeCell ref="C246:C248"/>
    <mergeCell ref="C261:C266"/>
    <mergeCell ref="C292:C293"/>
    <mergeCell ref="C250:C254"/>
    <mergeCell ref="B431:B433"/>
    <mergeCell ref="B383:B390"/>
    <mergeCell ref="B395:B397"/>
    <mergeCell ref="B429:B430"/>
    <mergeCell ref="C318:C320"/>
    <mergeCell ref="C328:C330"/>
    <mergeCell ref="B318:B320"/>
    <mergeCell ref="C333:C340"/>
    <mergeCell ref="C435:C442"/>
    <mergeCell ref="C419:C422"/>
    <mergeCell ref="C416:C418"/>
    <mergeCell ref="C401:C408"/>
    <mergeCell ref="C412:C414"/>
    <mergeCell ref="C431:C433"/>
    <mergeCell ref="B416:B418"/>
    <mergeCell ref="D160:D163"/>
    <mergeCell ref="B239:B241"/>
    <mergeCell ref="B158:B159"/>
    <mergeCell ref="D175:D176"/>
    <mergeCell ref="D237:D238"/>
    <mergeCell ref="D164:D166"/>
    <mergeCell ref="C383:C388"/>
    <mergeCell ref="C358:C360"/>
    <mergeCell ref="C376:C379"/>
    <mergeCell ref="D143:D146"/>
    <mergeCell ref="C122:C124"/>
    <mergeCell ref="C125:C127"/>
    <mergeCell ref="D416:D418"/>
    <mergeCell ref="D148:D150"/>
    <mergeCell ref="D242:D243"/>
    <mergeCell ref="D383:D390"/>
    <mergeCell ref="D246:D248"/>
    <mergeCell ref="D151:D157"/>
    <mergeCell ref="C310:C312"/>
    <mergeCell ref="D302:D304"/>
    <mergeCell ref="D274:D276"/>
    <mergeCell ref="B246:B248"/>
    <mergeCell ref="D295:D296"/>
    <mergeCell ref="B299:B301"/>
    <mergeCell ref="C295:C296"/>
    <mergeCell ref="C299:C301"/>
    <mergeCell ref="C302:C304"/>
    <mergeCell ref="B435:B442"/>
    <mergeCell ref="B295:B296"/>
    <mergeCell ref="B315:B316"/>
    <mergeCell ref="B218:B222"/>
    <mergeCell ref="B302:B304"/>
    <mergeCell ref="B310:B312"/>
    <mergeCell ref="B323:B324"/>
    <mergeCell ref="B307:B309"/>
    <mergeCell ref="B274:B276"/>
    <mergeCell ref="B343:B345"/>
    <mergeCell ref="B412:B414"/>
    <mergeCell ref="D358:D360"/>
    <mergeCell ref="D361:D363"/>
    <mergeCell ref="D412:D414"/>
    <mergeCell ref="D376:D379"/>
    <mergeCell ref="B366:B373"/>
    <mergeCell ref="C395:C397"/>
    <mergeCell ref="C366:C370"/>
    <mergeCell ref="C361:C363"/>
    <mergeCell ref="B392:B393"/>
    <mergeCell ref="D129:D134"/>
    <mergeCell ref="D125:D127"/>
    <mergeCell ref="B129:B134"/>
    <mergeCell ref="D232:D236"/>
    <mergeCell ref="B328:B330"/>
    <mergeCell ref="D348:D354"/>
    <mergeCell ref="B348:B354"/>
    <mergeCell ref="B292:B293"/>
    <mergeCell ref="D310:D312"/>
    <mergeCell ref="B107:B108"/>
    <mergeCell ref="B64:B66"/>
    <mergeCell ref="D64:D66"/>
    <mergeCell ref="B77:B82"/>
    <mergeCell ref="B95:B97"/>
    <mergeCell ref="D84:D85"/>
    <mergeCell ref="B84:B87"/>
    <mergeCell ref="D77:D82"/>
    <mergeCell ref="A117:A121"/>
    <mergeCell ref="A70:A71"/>
    <mergeCell ref="B70:B71"/>
    <mergeCell ref="B109:B116"/>
    <mergeCell ref="B117:B121"/>
    <mergeCell ref="A109:A116"/>
    <mergeCell ref="B99:B101"/>
    <mergeCell ref="B88:B94"/>
    <mergeCell ref="A84:A85"/>
    <mergeCell ref="A77:A82"/>
    <mergeCell ref="C164:C166"/>
    <mergeCell ref="B164:B166"/>
    <mergeCell ref="A143:A146"/>
    <mergeCell ref="A193:A199"/>
    <mergeCell ref="A175:A176"/>
    <mergeCell ref="A158:A159"/>
    <mergeCell ref="A177:A182"/>
    <mergeCell ref="B183:B186"/>
    <mergeCell ref="B148:B150"/>
    <mergeCell ref="B143:B146"/>
    <mergeCell ref="D218:D222"/>
    <mergeCell ref="A129:A133"/>
    <mergeCell ref="C183:C186"/>
    <mergeCell ref="B214:B217"/>
    <mergeCell ref="C214:C217"/>
    <mergeCell ref="A218:A222"/>
    <mergeCell ref="B160:B163"/>
    <mergeCell ref="B177:B182"/>
    <mergeCell ref="B191:B192"/>
    <mergeCell ref="B193:B199"/>
    <mergeCell ref="A250:A254"/>
    <mergeCell ref="A160:A163"/>
    <mergeCell ref="G242:G243"/>
    <mergeCell ref="F242:F243"/>
    <mergeCell ref="D191:D192"/>
    <mergeCell ref="D187:D190"/>
    <mergeCell ref="E242:E243"/>
    <mergeCell ref="B227:B231"/>
    <mergeCell ref="B232:B236"/>
    <mergeCell ref="D239:D241"/>
    <mergeCell ref="B187:B190"/>
    <mergeCell ref="A151:A157"/>
    <mergeCell ref="A237:A238"/>
    <mergeCell ref="A232:A236"/>
    <mergeCell ref="A183:A186"/>
    <mergeCell ref="A191:A192"/>
    <mergeCell ref="B151:B157"/>
    <mergeCell ref="H242:H243"/>
    <mergeCell ref="A429:A430"/>
    <mergeCell ref="D429:D430"/>
    <mergeCell ref="A366:A373"/>
    <mergeCell ref="D366:D373"/>
    <mergeCell ref="A383:A390"/>
    <mergeCell ref="A392:A393"/>
    <mergeCell ref="A333:A340"/>
    <mergeCell ref="D333:D340"/>
    <mergeCell ref="D299:D301"/>
    <mergeCell ref="A446:D446"/>
    <mergeCell ref="A401:A408"/>
    <mergeCell ref="D401:D408"/>
    <mergeCell ref="A419:A426"/>
    <mergeCell ref="D419:D426"/>
    <mergeCell ref="A435:A442"/>
    <mergeCell ref="D435:D442"/>
    <mergeCell ref="B401:B408"/>
    <mergeCell ref="B419:B426"/>
    <mergeCell ref="D431:D433"/>
    <mergeCell ref="C343:C345"/>
    <mergeCell ref="C348:C353"/>
    <mergeCell ref="D323:D324"/>
    <mergeCell ref="B358:B360"/>
    <mergeCell ref="A242:A243"/>
    <mergeCell ref="D284:D287"/>
    <mergeCell ref="D227:D231"/>
    <mergeCell ref="B237:B238"/>
    <mergeCell ref="B242:B245"/>
    <mergeCell ref="D250:D254"/>
    <mergeCell ref="B250:B254"/>
    <mergeCell ref="A261:A266"/>
    <mergeCell ref="B261:B266"/>
    <mergeCell ref="A227:A231"/>
    <mergeCell ref="B211:B212"/>
    <mergeCell ref="C218:C222"/>
    <mergeCell ref="C224:C226"/>
    <mergeCell ref="B203:B206"/>
    <mergeCell ref="B224:B226"/>
    <mergeCell ref="B208:B209"/>
    <mergeCell ref="C203:C206"/>
    <mergeCell ref="A125:A127"/>
    <mergeCell ref="B58:B59"/>
    <mergeCell ref="D158:D159"/>
    <mergeCell ref="A88:A92"/>
    <mergeCell ref="A107:A108"/>
    <mergeCell ref="D107:D108"/>
    <mergeCell ref="B125:B127"/>
    <mergeCell ref="B135:B136"/>
    <mergeCell ref="A122:A124"/>
    <mergeCell ref="B122:B124"/>
    <mergeCell ref="C117:C121"/>
    <mergeCell ref="C107:C108"/>
    <mergeCell ref="D70:D71"/>
    <mergeCell ref="D109:D116"/>
    <mergeCell ref="D73:D75"/>
    <mergeCell ref="C99:C101"/>
    <mergeCell ref="C109:C116"/>
    <mergeCell ref="D41:D47"/>
    <mergeCell ref="B67:B69"/>
    <mergeCell ref="C77:C82"/>
    <mergeCell ref="D88:D94"/>
    <mergeCell ref="B60:B61"/>
    <mergeCell ref="B62:B63"/>
    <mergeCell ref="C52:C57"/>
    <mergeCell ref="C58:C59"/>
    <mergeCell ref="C62:C63"/>
    <mergeCell ref="A48:A51"/>
    <mergeCell ref="D48:D51"/>
    <mergeCell ref="D52:D57"/>
    <mergeCell ref="D62:D63"/>
    <mergeCell ref="A62:A63"/>
    <mergeCell ref="D60:D61"/>
    <mergeCell ref="A6:H6"/>
    <mergeCell ref="D12:D13"/>
    <mergeCell ref="B22:B31"/>
    <mergeCell ref="B12:B13"/>
    <mergeCell ref="D19:D21"/>
    <mergeCell ref="A22:A31"/>
    <mergeCell ref="C12:C13"/>
    <mergeCell ref="C14:C16"/>
    <mergeCell ref="C19:C21"/>
    <mergeCell ref="C22:C31"/>
    <mergeCell ref="B14:B16"/>
    <mergeCell ref="D14:D16"/>
    <mergeCell ref="D22:D31"/>
    <mergeCell ref="A60:A61"/>
    <mergeCell ref="B52:B57"/>
    <mergeCell ref="D58:D59"/>
    <mergeCell ref="B33:B34"/>
    <mergeCell ref="B35:B40"/>
    <mergeCell ref="B41:B47"/>
    <mergeCell ref="B48:B51"/>
    <mergeCell ref="D33:D34"/>
    <mergeCell ref="A33:A34"/>
    <mergeCell ref="B19:B21"/>
    <mergeCell ref="E104:E105"/>
    <mergeCell ref="A35:A40"/>
    <mergeCell ref="D35:D40"/>
    <mergeCell ref="A58:A59"/>
    <mergeCell ref="A52:A57"/>
    <mergeCell ref="A41:A47"/>
    <mergeCell ref="A64:A65"/>
    <mergeCell ref="B139:B141"/>
    <mergeCell ref="D99:D101"/>
    <mergeCell ref="D67:D69"/>
    <mergeCell ref="B73:B75"/>
    <mergeCell ref="C95:C97"/>
    <mergeCell ref="D95:D97"/>
    <mergeCell ref="D139:D141"/>
    <mergeCell ref="D135:D136"/>
    <mergeCell ref="D122:D124"/>
    <mergeCell ref="D117:D121"/>
    <mergeCell ref="D395:D397"/>
    <mergeCell ref="D392:D393"/>
    <mergeCell ref="D193:D199"/>
    <mergeCell ref="D261:D266"/>
    <mergeCell ref="D224:D226"/>
    <mergeCell ref="D203:D206"/>
    <mergeCell ref="D318:D320"/>
    <mergeCell ref="D315:D316"/>
    <mergeCell ref="D307:D309"/>
    <mergeCell ref="D214:D217"/>
    <mergeCell ref="A284:A287"/>
    <mergeCell ref="B284:B291"/>
    <mergeCell ref="D292:D293"/>
    <mergeCell ref="B175:B176"/>
    <mergeCell ref="D208:D209"/>
    <mergeCell ref="D211:D212"/>
    <mergeCell ref="D183:D186"/>
    <mergeCell ref="D177:D182"/>
    <mergeCell ref="A211:A212"/>
    <mergeCell ref="A187:A190"/>
    <mergeCell ref="A376:A379"/>
    <mergeCell ref="B376:B379"/>
    <mergeCell ref="A348:A354"/>
    <mergeCell ref="A292:A293"/>
    <mergeCell ref="A323:A324"/>
    <mergeCell ref="A315:A316"/>
    <mergeCell ref="B361:B363"/>
    <mergeCell ref="B333:B340"/>
    <mergeCell ref="A295:A296"/>
  </mergeCells>
  <printOptions/>
  <pageMargins left="0.7874015748031497" right="0.7874015748031497" top="1.1811023622047245" bottom="0.3937007874015748" header="0.1968503937007874" footer="0.1968503937007874"/>
  <pageSetup fitToHeight="20" fitToWidth="1" horizontalDpi="600" verticalDpi="600" orientation="landscape" paperSize="9" scale="63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80"/>
  <sheetViews>
    <sheetView view="pageBreakPreview" zoomScale="75" zoomScaleSheetLayoutView="75" zoomScalePageLayoutView="0" workbookViewId="0" topLeftCell="A1">
      <pane xSplit="3" ySplit="9" topLeftCell="D7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H73" sqref="H73"/>
    </sheetView>
  </sheetViews>
  <sheetFormatPr defaultColWidth="9.140625" defaultRowHeight="12.75"/>
  <cols>
    <col min="1" max="1" width="9.28125" style="1" customWidth="1"/>
    <col min="2" max="2" width="35.8515625" style="1" customWidth="1"/>
    <col min="3" max="3" width="62.8515625" style="1" hidden="1" customWidth="1"/>
    <col min="4" max="4" width="12.57421875" style="1" hidden="1" customWidth="1"/>
    <col min="5" max="5" width="62.7109375" style="1" customWidth="1"/>
    <col min="6" max="6" width="13.421875" style="1" hidden="1" customWidth="1"/>
    <col min="7" max="7" width="15.28125" style="1" hidden="1" customWidth="1"/>
    <col min="8" max="8" width="16.28125" style="1" customWidth="1"/>
    <col min="9" max="9" width="14.421875" style="1" customWidth="1"/>
    <col min="10" max="10" width="11.00390625" style="1" bestFit="1" customWidth="1"/>
    <col min="11" max="11" width="12.140625" style="1" bestFit="1" customWidth="1"/>
    <col min="12" max="16384" width="9.140625" style="1" customWidth="1"/>
  </cols>
  <sheetData>
    <row r="1" spans="5:7" ht="52.5" customHeight="1">
      <c r="E1" s="14" t="s">
        <v>448</v>
      </c>
      <c r="G1" s="13"/>
    </row>
    <row r="2" spans="5:7" ht="28.5" customHeight="1">
      <c r="E2" s="14" t="s">
        <v>449</v>
      </c>
      <c r="G2" s="13"/>
    </row>
    <row r="3" spans="3:7" ht="39.75" customHeight="1">
      <c r="C3" s="8"/>
      <c r="E3" s="14" t="s">
        <v>563</v>
      </c>
      <c r="G3" s="13"/>
    </row>
    <row r="5" spans="1:10" s="6" customFormat="1" ht="28.5" customHeight="1">
      <c r="A5" s="218" t="s">
        <v>15</v>
      </c>
      <c r="B5" s="218"/>
      <c r="C5" s="218"/>
      <c r="D5" s="218"/>
      <c r="E5" s="218"/>
      <c r="F5" s="218"/>
      <c r="G5" s="218"/>
      <c r="H5" s="49"/>
      <c r="J5" s="50"/>
    </row>
    <row r="6" spans="1:4" ht="5.25" customHeight="1">
      <c r="A6" s="63"/>
      <c r="B6" s="63"/>
      <c r="C6" s="63"/>
      <c r="D6" s="63"/>
    </row>
    <row r="7" spans="1:8" ht="16.5" customHeight="1">
      <c r="A7" s="63"/>
      <c r="B7" s="63"/>
      <c r="C7" s="63"/>
      <c r="D7" s="63"/>
      <c r="E7" s="63"/>
      <c r="F7" s="63"/>
      <c r="G7" s="68" t="s">
        <v>282</v>
      </c>
      <c r="H7" s="63"/>
    </row>
    <row r="8" spans="1:8" s="2" customFormat="1" ht="45.75" customHeight="1">
      <c r="A8" s="64" t="s">
        <v>251</v>
      </c>
      <c r="B8" s="216" t="s">
        <v>253</v>
      </c>
      <c r="C8" s="216" t="s">
        <v>277</v>
      </c>
      <c r="D8" s="216"/>
      <c r="E8" s="216" t="s">
        <v>280</v>
      </c>
      <c r="F8" s="216"/>
      <c r="G8" s="4" t="s">
        <v>281</v>
      </c>
      <c r="H8" s="219" t="s">
        <v>219</v>
      </c>
    </row>
    <row r="9" spans="1:8" s="2" customFormat="1" ht="57.75" customHeight="1">
      <c r="A9" s="64" t="s">
        <v>252</v>
      </c>
      <c r="B9" s="216"/>
      <c r="C9" s="4" t="s">
        <v>278</v>
      </c>
      <c r="D9" s="4" t="s">
        <v>279</v>
      </c>
      <c r="E9" s="4" t="s">
        <v>278</v>
      </c>
      <c r="F9" s="4" t="s">
        <v>279</v>
      </c>
      <c r="G9" s="4" t="s">
        <v>279</v>
      </c>
      <c r="H9" s="220"/>
    </row>
    <row r="10" spans="1:8" s="2" customFormat="1" ht="16.5" customHeight="1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/>
    </row>
    <row r="11" spans="1:9" s="2" customFormat="1" ht="31.5" hidden="1">
      <c r="A11" s="22" t="s">
        <v>384</v>
      </c>
      <c r="B11" s="23" t="s">
        <v>255</v>
      </c>
      <c r="C11" s="4"/>
      <c r="D11" s="24">
        <f>D13+D14+D23+D24+D26+D28+D29+D30</f>
        <v>4344270</v>
      </c>
      <c r="E11" s="4"/>
      <c r="F11" s="28">
        <f>F12+F15+F16+F20+F21+F23+F24+F26+F28+F29+F30+F14</f>
        <v>910383</v>
      </c>
      <c r="G11" s="28">
        <f>D11+F11</f>
        <v>5254653</v>
      </c>
      <c r="H11" s="71"/>
      <c r="I11" s="46"/>
    </row>
    <row r="12" spans="1:9" s="20" customFormat="1" ht="31.5" hidden="1">
      <c r="A12" s="217" t="s">
        <v>416</v>
      </c>
      <c r="B12" s="216" t="s">
        <v>417</v>
      </c>
      <c r="C12" s="4"/>
      <c r="D12" s="17"/>
      <c r="E12" s="4" t="s">
        <v>76</v>
      </c>
      <c r="F12" s="19">
        <v>253199</v>
      </c>
      <c r="G12" s="19">
        <f>D12+F12</f>
        <v>253199</v>
      </c>
      <c r="H12" s="4"/>
      <c r="I12" s="46"/>
    </row>
    <row r="13" spans="1:9" s="20" customFormat="1" ht="68.25" customHeight="1" hidden="1">
      <c r="A13" s="217"/>
      <c r="B13" s="216"/>
      <c r="C13" s="4" t="s">
        <v>45</v>
      </c>
      <c r="D13" s="17">
        <v>1315</v>
      </c>
      <c r="E13" s="4"/>
      <c r="F13" s="19"/>
      <c r="G13" s="19">
        <f aca="true" t="shared" si="0" ref="G13:G31">D13+F13</f>
        <v>1315</v>
      </c>
      <c r="H13" s="4"/>
      <c r="I13" s="46"/>
    </row>
    <row r="14" spans="1:9" s="20" customFormat="1" ht="51" customHeight="1" hidden="1">
      <c r="A14" s="217" t="s">
        <v>295</v>
      </c>
      <c r="B14" s="216" t="s">
        <v>321</v>
      </c>
      <c r="C14" s="4" t="s">
        <v>217</v>
      </c>
      <c r="D14" s="17">
        <v>480000</v>
      </c>
      <c r="E14" s="4"/>
      <c r="F14" s="9"/>
      <c r="G14" s="19">
        <f t="shared" si="0"/>
        <v>480000</v>
      </c>
      <c r="H14" s="4"/>
      <c r="I14" s="46"/>
    </row>
    <row r="15" spans="1:9" s="20" customFormat="1" ht="47.25" hidden="1">
      <c r="A15" s="217"/>
      <c r="B15" s="216"/>
      <c r="C15" s="4"/>
      <c r="D15" s="17"/>
      <c r="E15" s="35" t="s">
        <v>214</v>
      </c>
      <c r="F15" s="36">
        <v>41424</v>
      </c>
      <c r="G15" s="59">
        <f t="shared" si="0"/>
        <v>41424</v>
      </c>
      <c r="H15" s="4"/>
      <c r="I15" s="46"/>
    </row>
    <row r="16" spans="1:9" s="20" customFormat="1" ht="52.5" customHeight="1" hidden="1">
      <c r="A16" s="217" t="s">
        <v>301</v>
      </c>
      <c r="B16" s="216" t="s">
        <v>302</v>
      </c>
      <c r="C16" s="216"/>
      <c r="D16" s="17"/>
      <c r="E16" s="4" t="s">
        <v>69</v>
      </c>
      <c r="F16" s="19">
        <v>415760</v>
      </c>
      <c r="G16" s="19">
        <f t="shared" si="0"/>
        <v>415760</v>
      </c>
      <c r="H16" s="4"/>
      <c r="I16" s="46"/>
    </row>
    <row r="17" spans="1:9" s="20" customFormat="1" ht="44.25" customHeight="1" hidden="1">
      <c r="A17" s="217"/>
      <c r="B17" s="216"/>
      <c r="C17" s="216"/>
      <c r="D17" s="5"/>
      <c r="E17" s="4" t="s">
        <v>379</v>
      </c>
      <c r="F17" s="9"/>
      <c r="G17" s="19">
        <f t="shared" si="0"/>
        <v>0</v>
      </c>
      <c r="H17" s="4"/>
      <c r="I17" s="46"/>
    </row>
    <row r="18" spans="1:9" s="20" customFormat="1" ht="47.25" customHeight="1" hidden="1">
      <c r="A18" s="217"/>
      <c r="B18" s="216"/>
      <c r="C18" s="216"/>
      <c r="D18" s="5"/>
      <c r="E18" s="4" t="s">
        <v>378</v>
      </c>
      <c r="F18" s="19">
        <v>0</v>
      </c>
      <c r="G18" s="19">
        <f t="shared" si="0"/>
        <v>0</v>
      </c>
      <c r="H18" s="4"/>
      <c r="I18" s="46"/>
    </row>
    <row r="19" spans="1:9" s="20" customFormat="1" ht="15.75" hidden="1">
      <c r="A19" s="217"/>
      <c r="B19" s="216"/>
      <c r="C19" s="216"/>
      <c r="D19" s="5"/>
      <c r="E19" s="4"/>
      <c r="F19" s="19">
        <v>0</v>
      </c>
      <c r="G19" s="19">
        <f t="shared" si="0"/>
        <v>0</v>
      </c>
      <c r="H19" s="4"/>
      <c r="I19" s="46"/>
    </row>
    <row r="20" spans="1:9" s="20" customFormat="1" ht="222" customHeight="1" hidden="1">
      <c r="A20" s="18" t="s">
        <v>465</v>
      </c>
      <c r="B20" s="40" t="s">
        <v>466</v>
      </c>
      <c r="C20" s="4"/>
      <c r="D20" s="5"/>
      <c r="E20" s="4" t="s">
        <v>508</v>
      </c>
      <c r="F20" s="19"/>
      <c r="G20" s="19">
        <f t="shared" si="0"/>
        <v>0</v>
      </c>
      <c r="H20" s="4"/>
      <c r="I20" s="46"/>
    </row>
    <row r="21" spans="1:9" s="20" customFormat="1" ht="46.5" customHeight="1" hidden="1">
      <c r="A21" s="26">
        <v>240900</v>
      </c>
      <c r="B21" s="4" t="s">
        <v>322</v>
      </c>
      <c r="C21" s="16"/>
      <c r="D21" s="15"/>
      <c r="E21" s="4" t="s">
        <v>35</v>
      </c>
      <c r="F21" s="19">
        <v>200000</v>
      </c>
      <c r="G21" s="19">
        <f t="shared" si="0"/>
        <v>200000</v>
      </c>
      <c r="H21" s="4"/>
      <c r="I21" s="46"/>
    </row>
    <row r="22" spans="1:9" s="20" customFormat="1" ht="75" customHeight="1" hidden="1">
      <c r="A22" s="26">
        <v>250203</v>
      </c>
      <c r="B22" s="4" t="s">
        <v>443</v>
      </c>
      <c r="C22" s="4"/>
      <c r="D22" s="21">
        <v>0</v>
      </c>
      <c r="E22" s="4"/>
      <c r="F22" s="9"/>
      <c r="G22" s="19">
        <f t="shared" si="0"/>
        <v>0</v>
      </c>
      <c r="H22" s="4"/>
      <c r="I22" s="46"/>
    </row>
    <row r="23" spans="1:9" s="20" customFormat="1" ht="78.75" hidden="1">
      <c r="A23" s="215">
        <v>250404</v>
      </c>
      <c r="B23" s="216" t="s">
        <v>309</v>
      </c>
      <c r="C23" s="4" t="s">
        <v>39</v>
      </c>
      <c r="D23" s="21">
        <v>304955</v>
      </c>
      <c r="E23" s="9"/>
      <c r="F23" s="12"/>
      <c r="G23" s="19">
        <f t="shared" si="0"/>
        <v>304955</v>
      </c>
      <c r="H23" s="4"/>
      <c r="I23" s="46"/>
    </row>
    <row r="24" spans="1:9" s="20" customFormat="1" ht="47.25" hidden="1">
      <c r="A24" s="215"/>
      <c r="B24" s="216"/>
      <c r="C24" s="4" t="s">
        <v>38</v>
      </c>
      <c r="D24" s="17">
        <v>209200</v>
      </c>
      <c r="E24" s="4"/>
      <c r="F24" s="19">
        <v>0</v>
      </c>
      <c r="G24" s="19">
        <f t="shared" si="0"/>
        <v>209200</v>
      </c>
      <c r="H24" s="4"/>
      <c r="I24" s="46"/>
    </row>
    <row r="25" spans="1:9" s="20" customFormat="1" ht="32.25" customHeight="1" hidden="1">
      <c r="A25" s="215"/>
      <c r="B25" s="216"/>
      <c r="C25" s="4" t="s">
        <v>380</v>
      </c>
      <c r="D25" s="17">
        <v>120000</v>
      </c>
      <c r="E25" s="4" t="s">
        <v>380</v>
      </c>
      <c r="F25" s="19">
        <v>0</v>
      </c>
      <c r="G25" s="19">
        <f t="shared" si="0"/>
        <v>120000</v>
      </c>
      <c r="H25" s="4"/>
      <c r="I25" s="46"/>
    </row>
    <row r="26" spans="1:9" s="20" customFormat="1" ht="65.25" customHeight="1" hidden="1">
      <c r="A26" s="215"/>
      <c r="B26" s="216"/>
      <c r="C26" s="4" t="s">
        <v>33</v>
      </c>
      <c r="D26" s="17">
        <v>3348800</v>
      </c>
      <c r="E26" s="4"/>
      <c r="F26" s="19">
        <v>0</v>
      </c>
      <c r="G26" s="19">
        <f t="shared" si="0"/>
        <v>3348800</v>
      </c>
      <c r="H26" s="4"/>
      <c r="I26" s="46"/>
    </row>
    <row r="27" spans="1:9" s="20" customFormat="1" ht="38.25" customHeight="1" hidden="1">
      <c r="A27" s="215"/>
      <c r="B27" s="216"/>
      <c r="C27" s="4" t="s">
        <v>447</v>
      </c>
      <c r="D27" s="17">
        <v>0</v>
      </c>
      <c r="E27" s="4"/>
      <c r="F27" s="19"/>
      <c r="G27" s="19">
        <f t="shared" si="0"/>
        <v>0</v>
      </c>
      <c r="H27" s="4"/>
      <c r="I27" s="46"/>
    </row>
    <row r="28" spans="1:9" s="20" customFormat="1" ht="46.5" customHeight="1" hidden="1">
      <c r="A28" s="215"/>
      <c r="B28" s="216"/>
      <c r="C28" s="35" t="s">
        <v>518</v>
      </c>
      <c r="D28" s="38">
        <v>0</v>
      </c>
      <c r="E28" s="35"/>
      <c r="F28" s="36"/>
      <c r="G28" s="59">
        <f t="shared" si="0"/>
        <v>0</v>
      </c>
      <c r="H28" s="4"/>
      <c r="I28" s="46"/>
    </row>
    <row r="29" spans="1:9" s="20" customFormat="1" ht="62.25" customHeight="1" hidden="1">
      <c r="A29" s="215"/>
      <c r="B29" s="216"/>
      <c r="C29" s="4" t="s">
        <v>570</v>
      </c>
      <c r="D29" s="17"/>
      <c r="E29" s="35"/>
      <c r="F29" s="36"/>
      <c r="G29" s="19">
        <f t="shared" si="0"/>
        <v>0</v>
      </c>
      <c r="H29" s="4"/>
      <c r="I29" s="46"/>
    </row>
    <row r="30" spans="1:9" s="20" customFormat="1" ht="63" hidden="1">
      <c r="A30" s="215"/>
      <c r="B30" s="216"/>
      <c r="C30" s="4" t="s">
        <v>508</v>
      </c>
      <c r="D30" s="17"/>
      <c r="E30" s="4"/>
      <c r="F30" s="19"/>
      <c r="G30" s="19">
        <f t="shared" si="0"/>
        <v>0</v>
      </c>
      <c r="H30" s="4"/>
      <c r="I30" s="46"/>
    </row>
    <row r="31" spans="1:9" s="20" customFormat="1" ht="47.25">
      <c r="A31" s="22" t="s">
        <v>392</v>
      </c>
      <c r="B31" s="23" t="s">
        <v>266</v>
      </c>
      <c r="C31" s="4"/>
      <c r="D31" s="24">
        <f>D33+D34+D35+D36+D37+D40+D41+D42+D44++D46+D49+D50+D51+D54+D56+D57+D58+D59+D60+D61+D62+D63+D64+D65+D66+D71+D72+D53+D55+D52+D43</f>
        <v>51174841</v>
      </c>
      <c r="E31" s="5"/>
      <c r="F31" s="24">
        <f>F34+F35+F37+F41+F45+F46+F49+F62+F54+F66+F67+F68+F69+F70+F71+F33+F43+F61+F52+F40</f>
        <v>20937895</v>
      </c>
      <c r="G31" s="24">
        <f t="shared" si="0"/>
        <v>72112736</v>
      </c>
      <c r="H31" s="71"/>
      <c r="I31" s="46"/>
    </row>
    <row r="32" spans="1:9" s="20" customFormat="1" ht="44.25" customHeight="1" hidden="1">
      <c r="A32" s="18" t="s">
        <v>416</v>
      </c>
      <c r="B32" s="4" t="s">
        <v>417</v>
      </c>
      <c r="C32" s="4" t="s">
        <v>441</v>
      </c>
      <c r="D32" s="17"/>
      <c r="E32" s="4"/>
      <c r="F32" s="19"/>
      <c r="G32" s="9">
        <v>0</v>
      </c>
      <c r="H32" s="4"/>
      <c r="I32" s="46"/>
    </row>
    <row r="33" spans="1:9" s="20" customFormat="1" ht="66" customHeight="1" hidden="1">
      <c r="A33" s="18" t="s">
        <v>416</v>
      </c>
      <c r="B33" s="4" t="s">
        <v>417</v>
      </c>
      <c r="C33" s="4" t="s">
        <v>45</v>
      </c>
      <c r="D33" s="17">
        <v>885</v>
      </c>
      <c r="E33" s="4" t="s">
        <v>76</v>
      </c>
      <c r="F33" s="19">
        <v>14000</v>
      </c>
      <c r="G33" s="19">
        <f>D33+F33</f>
        <v>14885</v>
      </c>
      <c r="H33" s="4"/>
      <c r="I33" s="46"/>
    </row>
    <row r="34" spans="1:9" s="20" customFormat="1" ht="33" customHeight="1">
      <c r="A34" s="217" t="s">
        <v>284</v>
      </c>
      <c r="B34" s="216" t="s">
        <v>324</v>
      </c>
      <c r="C34" s="4" t="s">
        <v>108</v>
      </c>
      <c r="D34" s="17">
        <v>4567066</v>
      </c>
      <c r="E34" s="4" t="s">
        <v>89</v>
      </c>
      <c r="F34" s="19">
        <f>3158108-F35</f>
        <v>2760193</v>
      </c>
      <c r="G34" s="19">
        <f>D34+F34</f>
        <v>7327259</v>
      </c>
      <c r="H34" s="71" t="s">
        <v>220</v>
      </c>
      <c r="I34" s="46"/>
    </row>
    <row r="35" spans="1:9" s="20" customFormat="1" ht="47.25" hidden="1">
      <c r="A35" s="217"/>
      <c r="B35" s="216"/>
      <c r="C35" s="35" t="s">
        <v>214</v>
      </c>
      <c r="D35" s="38">
        <v>24450</v>
      </c>
      <c r="E35" s="35" t="s">
        <v>214</v>
      </c>
      <c r="F35" s="36">
        <v>397915</v>
      </c>
      <c r="G35" s="19">
        <f>D35+F35</f>
        <v>422365</v>
      </c>
      <c r="H35" s="4"/>
      <c r="I35" s="46"/>
    </row>
    <row r="36" spans="1:9" s="20" customFormat="1" ht="71.25" customHeight="1" hidden="1">
      <c r="A36" s="217"/>
      <c r="B36" s="216"/>
      <c r="C36" s="4" t="s">
        <v>45</v>
      </c>
      <c r="D36" s="17">
        <v>209486</v>
      </c>
      <c r="E36" s="35"/>
      <c r="F36" s="36"/>
      <c r="G36" s="19">
        <f>D36+F36</f>
        <v>209486</v>
      </c>
      <c r="H36" s="4"/>
      <c r="I36" s="46"/>
    </row>
    <row r="37" spans="1:9" s="20" customFormat="1" ht="35.25" customHeight="1">
      <c r="A37" s="217" t="s">
        <v>285</v>
      </c>
      <c r="B37" s="217" t="s">
        <v>325</v>
      </c>
      <c r="C37" s="4" t="s">
        <v>108</v>
      </c>
      <c r="D37" s="17">
        <v>6523141</v>
      </c>
      <c r="E37" s="4" t="s">
        <v>89</v>
      </c>
      <c r="F37" s="19">
        <f>5369916-F41</f>
        <v>3882915</v>
      </c>
      <c r="G37" s="19">
        <f>D37+F37</f>
        <v>10406056</v>
      </c>
      <c r="H37" s="71">
        <v>127071</v>
      </c>
      <c r="I37" s="46"/>
    </row>
    <row r="38" spans="1:9" s="20" customFormat="1" ht="32.25" customHeight="1" hidden="1">
      <c r="A38" s="217"/>
      <c r="B38" s="217"/>
      <c r="C38" s="4" t="s">
        <v>481</v>
      </c>
      <c r="D38" s="17"/>
      <c r="E38" s="4" t="s">
        <v>481</v>
      </c>
      <c r="F38" s="19"/>
      <c r="G38" s="19">
        <f aca="true" t="shared" si="1" ref="G38:G48">D38+F38</f>
        <v>0</v>
      </c>
      <c r="H38" s="4"/>
      <c r="I38" s="46"/>
    </row>
    <row r="39" spans="1:9" s="20" customFormat="1" ht="66" customHeight="1" hidden="1">
      <c r="A39" s="217"/>
      <c r="B39" s="217"/>
      <c r="C39" s="4" t="s">
        <v>481</v>
      </c>
      <c r="D39" s="17"/>
      <c r="E39" s="4" t="s">
        <v>481</v>
      </c>
      <c r="F39" s="19"/>
      <c r="G39" s="19">
        <f t="shared" si="1"/>
        <v>0</v>
      </c>
      <c r="H39" s="4"/>
      <c r="I39" s="46"/>
    </row>
    <row r="40" spans="1:9" s="20" customFormat="1" ht="35.25" customHeight="1">
      <c r="A40" s="217"/>
      <c r="B40" s="217"/>
      <c r="C40" s="4" t="s">
        <v>109</v>
      </c>
      <c r="D40" s="17">
        <v>522962</v>
      </c>
      <c r="E40" s="4" t="s">
        <v>109</v>
      </c>
      <c r="F40" s="19">
        <v>127071</v>
      </c>
      <c r="G40" s="19">
        <f t="shared" si="1"/>
        <v>650033</v>
      </c>
      <c r="H40" s="4" t="s">
        <v>220</v>
      </c>
      <c r="I40" s="46"/>
    </row>
    <row r="41" spans="1:9" s="20" customFormat="1" ht="47.25" hidden="1">
      <c r="A41" s="217"/>
      <c r="B41" s="217"/>
      <c r="C41" s="35" t="s">
        <v>214</v>
      </c>
      <c r="D41" s="38">
        <v>99122</v>
      </c>
      <c r="E41" s="35" t="s">
        <v>214</v>
      </c>
      <c r="F41" s="36">
        <v>1487001</v>
      </c>
      <c r="G41" s="19">
        <f>D41+F41</f>
        <v>1586123</v>
      </c>
      <c r="H41" s="4"/>
      <c r="I41" s="46"/>
    </row>
    <row r="42" spans="1:9" s="20" customFormat="1" ht="66" customHeight="1" hidden="1">
      <c r="A42" s="217"/>
      <c r="B42" s="217"/>
      <c r="C42" s="4" t="s">
        <v>45</v>
      </c>
      <c r="D42" s="17">
        <v>322041</v>
      </c>
      <c r="E42" s="35"/>
      <c r="F42" s="36"/>
      <c r="G42" s="19">
        <f t="shared" si="1"/>
        <v>322041</v>
      </c>
      <c r="H42" s="4"/>
      <c r="I42" s="46"/>
    </row>
    <row r="43" spans="1:9" s="20" customFormat="1" ht="35.25" customHeight="1">
      <c r="A43" s="217" t="s">
        <v>286</v>
      </c>
      <c r="B43" s="216" t="s">
        <v>326</v>
      </c>
      <c r="C43" s="4" t="s">
        <v>108</v>
      </c>
      <c r="D43" s="17">
        <v>1636</v>
      </c>
      <c r="E43" s="4" t="s">
        <v>89</v>
      </c>
      <c r="F43" s="19">
        <f>14800-F45</f>
        <v>0</v>
      </c>
      <c r="G43" s="19">
        <f t="shared" si="1"/>
        <v>1636</v>
      </c>
      <c r="H43" s="4"/>
      <c r="I43" s="46"/>
    </row>
    <row r="44" spans="1:9" s="20" customFormat="1" ht="70.5" customHeight="1" hidden="1">
      <c r="A44" s="217"/>
      <c r="B44" s="216"/>
      <c r="C44" s="4" t="s">
        <v>45</v>
      </c>
      <c r="D44" s="17">
        <v>5234</v>
      </c>
      <c r="E44" s="4"/>
      <c r="F44" s="19"/>
      <c r="G44" s="19">
        <f t="shared" si="1"/>
        <v>5234</v>
      </c>
      <c r="H44" s="4"/>
      <c r="I44" s="46"/>
    </row>
    <row r="45" spans="1:9" s="20" customFormat="1" ht="47.25" hidden="1">
      <c r="A45" s="217"/>
      <c r="B45" s="216"/>
      <c r="C45" s="4"/>
      <c r="D45" s="17"/>
      <c r="E45" s="35" t="s">
        <v>214</v>
      </c>
      <c r="F45" s="36">
        <v>14800</v>
      </c>
      <c r="G45" s="19">
        <f t="shared" si="1"/>
        <v>14800</v>
      </c>
      <c r="H45" s="71"/>
      <c r="I45" s="46"/>
    </row>
    <row r="46" spans="1:9" s="20" customFormat="1" ht="39" customHeight="1">
      <c r="A46" s="217" t="s">
        <v>243</v>
      </c>
      <c r="B46" s="216" t="s">
        <v>244</v>
      </c>
      <c r="C46" s="4" t="s">
        <v>110</v>
      </c>
      <c r="D46" s="17">
        <v>29827597</v>
      </c>
      <c r="E46" s="4" t="s">
        <v>90</v>
      </c>
      <c r="F46" s="19">
        <f>151878+393294-F49</f>
        <v>511523</v>
      </c>
      <c r="G46" s="19">
        <f t="shared" si="1"/>
        <v>30339120</v>
      </c>
      <c r="H46" s="4">
        <v>393294</v>
      </c>
      <c r="I46" s="46"/>
    </row>
    <row r="47" spans="1:9" s="20" customFormat="1" ht="46.5" customHeight="1" hidden="1">
      <c r="A47" s="217"/>
      <c r="B47" s="216"/>
      <c r="C47" s="4" t="s">
        <v>561</v>
      </c>
      <c r="D47" s="17">
        <v>0</v>
      </c>
      <c r="E47" s="4" t="s">
        <v>561</v>
      </c>
      <c r="F47" s="19">
        <v>0</v>
      </c>
      <c r="G47" s="19">
        <f t="shared" si="1"/>
        <v>0</v>
      </c>
      <c r="H47" s="4"/>
      <c r="I47" s="46"/>
    </row>
    <row r="48" spans="1:9" s="20" customFormat="1" ht="51.75" customHeight="1" hidden="1">
      <c r="A48" s="217"/>
      <c r="B48" s="216"/>
      <c r="C48" s="4"/>
      <c r="D48" s="21">
        <v>0</v>
      </c>
      <c r="E48" s="26"/>
      <c r="F48" s="16"/>
      <c r="G48" s="19">
        <f t="shared" si="1"/>
        <v>0</v>
      </c>
      <c r="H48" s="4"/>
      <c r="I48" s="46"/>
    </row>
    <row r="49" spans="1:9" s="20" customFormat="1" ht="47.25" hidden="1">
      <c r="A49" s="217"/>
      <c r="B49" s="216"/>
      <c r="C49" s="35" t="s">
        <v>214</v>
      </c>
      <c r="D49" s="36">
        <v>5000</v>
      </c>
      <c r="E49" s="35" t="s">
        <v>214</v>
      </c>
      <c r="F49" s="36">
        <v>33649</v>
      </c>
      <c r="G49" s="19">
        <f>D49+F49</f>
        <v>38649</v>
      </c>
      <c r="H49" s="4"/>
      <c r="I49" s="46"/>
    </row>
    <row r="50" spans="1:9" s="20" customFormat="1" ht="66.75" customHeight="1" hidden="1">
      <c r="A50" s="217"/>
      <c r="B50" s="216"/>
      <c r="C50" s="4" t="s">
        <v>45</v>
      </c>
      <c r="D50" s="19">
        <v>38395</v>
      </c>
      <c r="E50" s="35"/>
      <c r="F50" s="36"/>
      <c r="G50" s="19">
        <f aca="true" t="shared" si="2" ref="G50:G70">D50+F50</f>
        <v>38395</v>
      </c>
      <c r="H50" s="4"/>
      <c r="I50" s="46"/>
    </row>
    <row r="51" spans="1:9" s="20" customFormat="1" ht="63.75" customHeight="1" hidden="1">
      <c r="A51" s="18" t="s">
        <v>532</v>
      </c>
      <c r="B51" s="4" t="s">
        <v>531</v>
      </c>
      <c r="C51" s="4" t="s">
        <v>45</v>
      </c>
      <c r="D51" s="19">
        <v>2108</v>
      </c>
      <c r="E51" s="35"/>
      <c r="F51" s="36"/>
      <c r="G51" s="19">
        <f t="shared" si="2"/>
        <v>2108</v>
      </c>
      <c r="H51" s="4"/>
      <c r="I51" s="46"/>
    </row>
    <row r="52" spans="1:9" s="20" customFormat="1" ht="48" customHeight="1">
      <c r="A52" s="221" t="s">
        <v>47</v>
      </c>
      <c r="B52" s="219" t="s">
        <v>79</v>
      </c>
      <c r="C52" s="4" t="s">
        <v>108</v>
      </c>
      <c r="D52" s="19">
        <v>30000</v>
      </c>
      <c r="E52" s="4" t="s">
        <v>89</v>
      </c>
      <c r="F52" s="19">
        <v>400000</v>
      </c>
      <c r="G52" s="19">
        <f>D52+F52</f>
        <v>430000</v>
      </c>
      <c r="H52" s="4" t="s">
        <v>220</v>
      </c>
      <c r="I52" s="46"/>
    </row>
    <row r="53" spans="1:9" s="20" customFormat="1" ht="63.75" customHeight="1" hidden="1">
      <c r="A53" s="222"/>
      <c r="B53" s="220"/>
      <c r="C53" s="4" t="s">
        <v>45</v>
      </c>
      <c r="D53" s="19">
        <v>1684</v>
      </c>
      <c r="E53" s="4"/>
      <c r="F53" s="19"/>
      <c r="G53" s="19">
        <f>D53+F53</f>
        <v>1684</v>
      </c>
      <c r="H53" s="4"/>
      <c r="I53" s="46"/>
    </row>
    <row r="54" spans="1:9" s="51" customFormat="1" ht="37.5" customHeight="1">
      <c r="A54" s="221" t="s">
        <v>539</v>
      </c>
      <c r="B54" s="219" t="s">
        <v>540</v>
      </c>
      <c r="C54" s="4" t="s">
        <v>108</v>
      </c>
      <c r="D54" s="19">
        <v>60000</v>
      </c>
      <c r="E54" s="4" t="s">
        <v>89</v>
      </c>
      <c r="F54" s="19">
        <v>94430</v>
      </c>
      <c r="G54" s="19">
        <f t="shared" si="2"/>
        <v>154430</v>
      </c>
      <c r="H54" s="71" t="s">
        <v>220</v>
      </c>
      <c r="I54" s="52"/>
    </row>
    <row r="55" spans="1:9" s="51" customFormat="1" ht="46.5" customHeight="1" hidden="1">
      <c r="A55" s="222"/>
      <c r="B55" s="220"/>
      <c r="C55" s="4" t="s">
        <v>45</v>
      </c>
      <c r="D55" s="19">
        <v>10998</v>
      </c>
      <c r="E55" s="4"/>
      <c r="F55" s="19"/>
      <c r="G55" s="19">
        <f>D55</f>
        <v>10998</v>
      </c>
      <c r="H55" s="71"/>
      <c r="I55" s="52"/>
    </row>
    <row r="56" spans="1:9" s="20" customFormat="1" ht="60.75" customHeight="1" hidden="1">
      <c r="A56" s="18" t="s">
        <v>533</v>
      </c>
      <c r="B56" s="4" t="s">
        <v>534</v>
      </c>
      <c r="C56" s="4" t="s">
        <v>45</v>
      </c>
      <c r="D56" s="19">
        <v>8769</v>
      </c>
      <c r="E56" s="35"/>
      <c r="F56" s="36"/>
      <c r="G56" s="19">
        <f t="shared" si="2"/>
        <v>8769</v>
      </c>
      <c r="H56" s="4"/>
      <c r="I56" s="46"/>
    </row>
    <row r="57" spans="1:9" s="20" customFormat="1" ht="47.25" hidden="1">
      <c r="A57" s="25" t="s">
        <v>298</v>
      </c>
      <c r="B57" s="4" t="s">
        <v>245</v>
      </c>
      <c r="C57" s="4" t="s">
        <v>113</v>
      </c>
      <c r="D57" s="21">
        <v>463467</v>
      </c>
      <c r="E57" s="4"/>
      <c r="F57" s="16"/>
      <c r="G57" s="19">
        <f t="shared" si="2"/>
        <v>463467</v>
      </c>
      <c r="H57" s="4"/>
      <c r="I57" s="46"/>
    </row>
    <row r="58" spans="1:9" s="20" customFormat="1" ht="95.25" customHeight="1" hidden="1">
      <c r="A58" s="18" t="s">
        <v>287</v>
      </c>
      <c r="B58" s="4" t="s">
        <v>320</v>
      </c>
      <c r="C58" s="4" t="s">
        <v>111</v>
      </c>
      <c r="D58" s="17">
        <v>4377290</v>
      </c>
      <c r="E58" s="4"/>
      <c r="F58" s="9"/>
      <c r="G58" s="19">
        <f t="shared" si="2"/>
        <v>4377290</v>
      </c>
      <c r="H58" s="4"/>
      <c r="I58" s="46"/>
    </row>
    <row r="59" spans="1:9" s="20" customFormat="1" ht="35.25" customHeight="1" hidden="1">
      <c r="A59" s="18" t="s">
        <v>408</v>
      </c>
      <c r="B59" s="4" t="s">
        <v>409</v>
      </c>
      <c r="C59" s="4" t="s">
        <v>112</v>
      </c>
      <c r="D59" s="17">
        <v>199559</v>
      </c>
      <c r="E59" s="4"/>
      <c r="F59" s="9"/>
      <c r="G59" s="19">
        <f t="shared" si="2"/>
        <v>199559</v>
      </c>
      <c r="H59" s="4"/>
      <c r="I59" s="46"/>
    </row>
    <row r="60" spans="1:9" s="20" customFormat="1" ht="47.25" hidden="1">
      <c r="A60" s="18" t="s">
        <v>492</v>
      </c>
      <c r="B60" s="4" t="s">
        <v>493</v>
      </c>
      <c r="C60" s="4" t="s">
        <v>112</v>
      </c>
      <c r="D60" s="17">
        <v>99067</v>
      </c>
      <c r="E60" s="4"/>
      <c r="F60" s="19"/>
      <c r="G60" s="19">
        <f t="shared" si="2"/>
        <v>99067</v>
      </c>
      <c r="H60" s="4"/>
      <c r="I60" s="46"/>
    </row>
    <row r="61" spans="1:9" s="20" customFormat="1" ht="31.5" customHeight="1">
      <c r="A61" s="217" t="s">
        <v>327</v>
      </c>
      <c r="B61" s="216" t="s">
        <v>442</v>
      </c>
      <c r="C61" s="4" t="s">
        <v>112</v>
      </c>
      <c r="D61" s="17">
        <v>447580</v>
      </c>
      <c r="E61" s="4" t="s">
        <v>91</v>
      </c>
      <c r="F61" s="19">
        <f>39500-F62</f>
        <v>0</v>
      </c>
      <c r="G61" s="19">
        <f t="shared" si="2"/>
        <v>447580</v>
      </c>
      <c r="H61" s="4" t="s">
        <v>220</v>
      </c>
      <c r="I61" s="46"/>
    </row>
    <row r="62" spans="1:9" s="20" customFormat="1" ht="47.25" hidden="1">
      <c r="A62" s="217"/>
      <c r="B62" s="216"/>
      <c r="C62" s="35" t="s">
        <v>214</v>
      </c>
      <c r="D62" s="36">
        <v>1000</v>
      </c>
      <c r="E62" s="35" t="s">
        <v>214</v>
      </c>
      <c r="F62" s="36">
        <v>39500</v>
      </c>
      <c r="G62" s="19">
        <f t="shared" si="2"/>
        <v>40500</v>
      </c>
      <c r="H62" s="71"/>
      <c r="I62" s="46"/>
    </row>
    <row r="63" spans="1:9" s="20" customFormat="1" ht="65.25" customHeight="1" hidden="1">
      <c r="A63" s="217"/>
      <c r="B63" s="216"/>
      <c r="C63" s="4" t="s">
        <v>45</v>
      </c>
      <c r="D63" s="19">
        <v>23788</v>
      </c>
      <c r="E63" s="35"/>
      <c r="F63" s="36"/>
      <c r="G63" s="19">
        <f t="shared" si="2"/>
        <v>23788</v>
      </c>
      <c r="H63" s="4"/>
      <c r="I63" s="46"/>
    </row>
    <row r="64" spans="1:9" s="20" customFormat="1" ht="47.25" hidden="1">
      <c r="A64" s="18" t="s">
        <v>406</v>
      </c>
      <c r="B64" s="4" t="s">
        <v>407</v>
      </c>
      <c r="C64" s="4" t="s">
        <v>207</v>
      </c>
      <c r="D64" s="17">
        <v>733099</v>
      </c>
      <c r="E64" s="4"/>
      <c r="F64" s="19"/>
      <c r="G64" s="19">
        <f t="shared" si="2"/>
        <v>733099</v>
      </c>
      <c r="H64" s="4"/>
      <c r="I64" s="46"/>
    </row>
    <row r="65" spans="1:9" s="20" customFormat="1" ht="63" hidden="1">
      <c r="A65" s="215">
        <v>130112</v>
      </c>
      <c r="B65" s="216" t="s">
        <v>309</v>
      </c>
      <c r="C65" s="4" t="s">
        <v>45</v>
      </c>
      <c r="D65" s="17">
        <v>1046</v>
      </c>
      <c r="E65" s="4"/>
      <c r="F65" s="19"/>
      <c r="G65" s="19">
        <f t="shared" si="2"/>
        <v>1046</v>
      </c>
      <c r="H65" s="4"/>
      <c r="I65" s="46"/>
    </row>
    <row r="66" spans="1:9" s="20" customFormat="1" ht="37.5" customHeight="1">
      <c r="A66" s="215"/>
      <c r="B66" s="216"/>
      <c r="C66" s="4" t="s">
        <v>208</v>
      </c>
      <c r="D66" s="21">
        <v>453294</v>
      </c>
      <c r="E66" s="4" t="s">
        <v>208</v>
      </c>
      <c r="F66" s="12">
        <v>42880</v>
      </c>
      <c r="G66" s="19">
        <f t="shared" si="2"/>
        <v>496174</v>
      </c>
      <c r="H66" s="71">
        <v>42880</v>
      </c>
      <c r="I66" s="46"/>
    </row>
    <row r="67" spans="1:9" s="20" customFormat="1" ht="31.5" hidden="1">
      <c r="A67" s="217" t="s">
        <v>301</v>
      </c>
      <c r="B67" s="216" t="s">
        <v>302</v>
      </c>
      <c r="C67" s="4"/>
      <c r="D67" s="5"/>
      <c r="E67" s="4" t="s">
        <v>92</v>
      </c>
      <c r="F67" s="12">
        <v>8667311</v>
      </c>
      <c r="G67" s="19">
        <f t="shared" si="2"/>
        <v>8667311</v>
      </c>
      <c r="H67" s="71"/>
      <c r="I67" s="46"/>
    </row>
    <row r="68" spans="1:9" s="20" customFormat="1" ht="31.5" hidden="1">
      <c r="A68" s="217"/>
      <c r="B68" s="216"/>
      <c r="C68" s="4"/>
      <c r="D68" s="5"/>
      <c r="E68" s="4" t="s">
        <v>93</v>
      </c>
      <c r="F68" s="12">
        <v>1248451</v>
      </c>
      <c r="G68" s="19">
        <f t="shared" si="2"/>
        <v>1248451</v>
      </c>
      <c r="H68" s="4"/>
      <c r="I68" s="46"/>
    </row>
    <row r="69" spans="1:9" s="20" customFormat="1" ht="31.5" hidden="1">
      <c r="A69" s="217"/>
      <c r="B69" s="216"/>
      <c r="C69" s="4"/>
      <c r="D69" s="5"/>
      <c r="E69" s="4" t="s">
        <v>94</v>
      </c>
      <c r="F69" s="12">
        <v>1065845</v>
      </c>
      <c r="G69" s="19">
        <f t="shared" si="2"/>
        <v>1065845</v>
      </c>
      <c r="H69" s="4"/>
      <c r="I69" s="46"/>
    </row>
    <row r="70" spans="1:9" s="20" customFormat="1" ht="31.5" hidden="1">
      <c r="A70" s="4">
        <v>240601</v>
      </c>
      <c r="B70" s="4" t="s">
        <v>323</v>
      </c>
      <c r="C70" s="4"/>
      <c r="D70" s="5"/>
      <c r="E70" s="4" t="s">
        <v>28</v>
      </c>
      <c r="F70" s="17">
        <v>119053</v>
      </c>
      <c r="G70" s="19">
        <f t="shared" si="2"/>
        <v>119053</v>
      </c>
      <c r="H70" s="71"/>
      <c r="I70" s="46"/>
    </row>
    <row r="71" spans="1:9" s="20" customFormat="1" ht="77.25" customHeight="1" hidden="1">
      <c r="A71" s="25" t="s">
        <v>241</v>
      </c>
      <c r="B71" s="4" t="s">
        <v>242</v>
      </c>
      <c r="C71" s="219" t="s">
        <v>88</v>
      </c>
      <c r="D71" s="15">
        <v>2065077</v>
      </c>
      <c r="E71" s="4" t="s">
        <v>88</v>
      </c>
      <c r="F71" s="16">
        <v>31358</v>
      </c>
      <c r="G71" s="19">
        <f>D71+F71</f>
        <v>2096435</v>
      </c>
      <c r="H71" s="4"/>
      <c r="I71" s="46"/>
    </row>
    <row r="72" spans="1:9" s="20" customFormat="1" ht="94.5" hidden="1">
      <c r="A72" s="25" t="s">
        <v>558</v>
      </c>
      <c r="B72" s="4" t="s">
        <v>559</v>
      </c>
      <c r="C72" s="220"/>
      <c r="D72" s="15">
        <v>50000</v>
      </c>
      <c r="E72" s="4"/>
      <c r="F72" s="16"/>
      <c r="G72" s="19">
        <f>D72+F72</f>
        <v>50000</v>
      </c>
      <c r="H72" s="4"/>
      <c r="I72" s="46"/>
    </row>
    <row r="73" spans="1:9" s="20" customFormat="1" ht="46.5" customHeight="1">
      <c r="A73" s="22" t="s">
        <v>393</v>
      </c>
      <c r="B73" s="23" t="s">
        <v>267</v>
      </c>
      <c r="C73" s="4"/>
      <c r="D73" s="24">
        <f>D75+D76+D77+D78+D79+D80+D81+D82+D83+D84+D86+D85+D88+D89+D91+D93+D74+D90</f>
        <v>12844390</v>
      </c>
      <c r="E73" s="5"/>
      <c r="F73" s="24">
        <f>F75+F76+F78+F80+F81+F83+F84+F86+F87+F89+F94+F74+F92</f>
        <v>23146713</v>
      </c>
      <c r="G73" s="28">
        <f>D73+F73</f>
        <v>35991103</v>
      </c>
      <c r="H73" s="71"/>
      <c r="I73" s="46"/>
    </row>
    <row r="74" spans="1:9" s="20" customFormat="1" ht="49.5" customHeight="1" hidden="1">
      <c r="A74" s="18" t="s">
        <v>416</v>
      </c>
      <c r="B74" s="4" t="s">
        <v>417</v>
      </c>
      <c r="C74" s="4" t="s">
        <v>46</v>
      </c>
      <c r="D74" s="17">
        <v>2829</v>
      </c>
      <c r="E74" s="4" t="s">
        <v>76</v>
      </c>
      <c r="F74" s="19">
        <v>7000</v>
      </c>
      <c r="G74" s="19">
        <f>D74+F74</f>
        <v>9829</v>
      </c>
      <c r="H74" s="4"/>
      <c r="I74" s="46"/>
    </row>
    <row r="75" spans="1:9" s="20" customFormat="1" ht="52.5" customHeight="1">
      <c r="A75" s="217" t="s">
        <v>289</v>
      </c>
      <c r="B75" s="216" t="s">
        <v>236</v>
      </c>
      <c r="C75" s="4" t="s">
        <v>548</v>
      </c>
      <c r="D75" s="17">
        <v>0</v>
      </c>
      <c r="E75" s="4" t="s">
        <v>548</v>
      </c>
      <c r="F75" s="19">
        <v>4059683</v>
      </c>
      <c r="G75" s="19">
        <f>D75+F75</f>
        <v>4059683</v>
      </c>
      <c r="H75" s="71">
        <v>299733</v>
      </c>
      <c r="I75" s="46"/>
    </row>
    <row r="76" spans="1:9" s="20" customFormat="1" ht="51.75" customHeight="1" hidden="1">
      <c r="A76" s="217"/>
      <c r="B76" s="216"/>
      <c r="C76" s="4"/>
      <c r="D76" s="17">
        <v>0</v>
      </c>
      <c r="E76" s="4"/>
      <c r="F76" s="19">
        <v>0</v>
      </c>
      <c r="G76" s="19">
        <f aca="true" t="shared" si="3" ref="G76:G94">D76+F76</f>
        <v>0</v>
      </c>
      <c r="H76" s="4"/>
      <c r="I76" s="46"/>
    </row>
    <row r="77" spans="1:9" s="20" customFormat="1" ht="54.75" customHeight="1" hidden="1">
      <c r="A77" s="217"/>
      <c r="B77" s="216"/>
      <c r="C77" s="4" t="s">
        <v>549</v>
      </c>
      <c r="D77" s="17">
        <v>406050</v>
      </c>
      <c r="E77" s="4"/>
      <c r="F77" s="19"/>
      <c r="G77" s="19">
        <f t="shared" si="3"/>
        <v>406050</v>
      </c>
      <c r="H77" s="4"/>
      <c r="I77" s="46"/>
    </row>
    <row r="78" spans="1:9" s="20" customFormat="1" ht="47.25" hidden="1">
      <c r="A78" s="217"/>
      <c r="B78" s="216"/>
      <c r="C78" s="35" t="s">
        <v>214</v>
      </c>
      <c r="D78" s="38">
        <v>38750</v>
      </c>
      <c r="E78" s="35" t="s">
        <v>214</v>
      </c>
      <c r="F78" s="36">
        <v>473495</v>
      </c>
      <c r="G78" s="19">
        <f t="shared" si="3"/>
        <v>512245</v>
      </c>
      <c r="H78" s="4"/>
      <c r="I78" s="46"/>
    </row>
    <row r="79" spans="1:9" s="20" customFormat="1" ht="63" hidden="1">
      <c r="A79" s="217"/>
      <c r="B79" s="216"/>
      <c r="C79" s="4" t="s">
        <v>46</v>
      </c>
      <c r="D79" s="17">
        <v>9003</v>
      </c>
      <c r="E79" s="35"/>
      <c r="F79" s="36"/>
      <c r="G79" s="19">
        <f t="shared" si="3"/>
        <v>9003</v>
      </c>
      <c r="H79" s="4"/>
      <c r="I79" s="46"/>
    </row>
    <row r="80" spans="1:9" s="20" customFormat="1" ht="50.25" customHeight="1">
      <c r="A80" s="217" t="s">
        <v>328</v>
      </c>
      <c r="B80" s="216" t="s">
        <v>483</v>
      </c>
      <c r="C80" s="4" t="s">
        <v>548</v>
      </c>
      <c r="D80" s="17">
        <v>0</v>
      </c>
      <c r="E80" s="4" t="s">
        <v>548</v>
      </c>
      <c r="F80" s="19">
        <v>699466</v>
      </c>
      <c r="G80" s="19">
        <f t="shared" si="3"/>
        <v>699466</v>
      </c>
      <c r="H80" s="71" t="s">
        <v>220</v>
      </c>
      <c r="I80" s="46"/>
    </row>
    <row r="81" spans="1:9" s="20" customFormat="1" ht="47.25" hidden="1">
      <c r="A81" s="217"/>
      <c r="B81" s="216"/>
      <c r="C81" s="35" t="s">
        <v>214</v>
      </c>
      <c r="D81" s="36">
        <v>0</v>
      </c>
      <c r="E81" s="35" t="s">
        <v>214</v>
      </c>
      <c r="F81" s="36">
        <v>96920</v>
      </c>
      <c r="G81" s="19">
        <f t="shared" si="3"/>
        <v>96920</v>
      </c>
      <c r="H81" s="4"/>
      <c r="I81" s="46"/>
    </row>
    <row r="82" spans="1:9" s="20" customFormat="1" ht="15.75" hidden="1">
      <c r="A82" s="217"/>
      <c r="B82" s="216"/>
      <c r="C82" s="4"/>
      <c r="D82" s="19">
        <v>0</v>
      </c>
      <c r="E82" s="35"/>
      <c r="F82" s="36"/>
      <c r="G82" s="19">
        <f t="shared" si="3"/>
        <v>0</v>
      </c>
      <c r="H82" s="4"/>
      <c r="I82" s="46"/>
    </row>
    <row r="83" spans="1:9" s="20" customFormat="1" ht="47.25">
      <c r="A83" s="217" t="s">
        <v>290</v>
      </c>
      <c r="B83" s="216" t="s">
        <v>237</v>
      </c>
      <c r="C83" s="4" t="s">
        <v>548</v>
      </c>
      <c r="D83" s="17">
        <v>0</v>
      </c>
      <c r="E83" s="4" t="s">
        <v>548</v>
      </c>
      <c r="F83" s="19">
        <v>668216</v>
      </c>
      <c r="G83" s="19">
        <f t="shared" si="3"/>
        <v>668216</v>
      </c>
      <c r="H83" s="71" t="s">
        <v>220</v>
      </c>
      <c r="I83" s="46"/>
    </row>
    <row r="84" spans="1:9" s="20" customFormat="1" ht="47.25" hidden="1">
      <c r="A84" s="217"/>
      <c r="B84" s="216"/>
      <c r="C84" s="35" t="s">
        <v>214</v>
      </c>
      <c r="D84" s="36">
        <v>28156</v>
      </c>
      <c r="E84" s="35" t="s">
        <v>214</v>
      </c>
      <c r="F84" s="36">
        <v>10000</v>
      </c>
      <c r="G84" s="19">
        <f t="shared" si="3"/>
        <v>38156</v>
      </c>
      <c r="H84" s="4"/>
      <c r="I84" s="46"/>
    </row>
    <row r="85" spans="1:9" s="20" customFormat="1" ht="15.75" hidden="1">
      <c r="A85" s="217"/>
      <c r="B85" s="216"/>
      <c r="C85" s="4"/>
      <c r="D85" s="19">
        <v>0</v>
      </c>
      <c r="E85" s="35"/>
      <c r="F85" s="36"/>
      <c r="G85" s="19">
        <f t="shared" si="3"/>
        <v>0</v>
      </c>
      <c r="H85" s="4"/>
      <c r="I85" s="46"/>
    </row>
    <row r="86" spans="1:9" s="20" customFormat="1" ht="47.25" customHeight="1">
      <c r="A86" s="217" t="s">
        <v>291</v>
      </c>
      <c r="B86" s="216" t="s">
        <v>238</v>
      </c>
      <c r="C86" s="4" t="s">
        <v>548</v>
      </c>
      <c r="D86" s="17">
        <v>0</v>
      </c>
      <c r="E86" s="4" t="s">
        <v>548</v>
      </c>
      <c r="F86" s="19">
        <v>6000</v>
      </c>
      <c r="G86" s="19">
        <f t="shared" si="3"/>
        <v>6000</v>
      </c>
      <c r="H86" s="71">
        <v>265928</v>
      </c>
      <c r="I86" s="46"/>
    </row>
    <row r="87" spans="1:9" s="20" customFormat="1" ht="47.25" hidden="1">
      <c r="A87" s="217"/>
      <c r="B87" s="216"/>
      <c r="C87" s="4"/>
      <c r="D87" s="17"/>
      <c r="E87" s="35" t="s">
        <v>214</v>
      </c>
      <c r="F87" s="36">
        <v>6000</v>
      </c>
      <c r="G87" s="19">
        <f t="shared" si="3"/>
        <v>6000</v>
      </c>
      <c r="H87" s="4"/>
      <c r="I87" s="46"/>
    </row>
    <row r="88" spans="1:9" s="20" customFormat="1" ht="66" customHeight="1" hidden="1">
      <c r="A88" s="217"/>
      <c r="B88" s="216"/>
      <c r="C88" s="4"/>
      <c r="D88" s="17">
        <v>0</v>
      </c>
      <c r="E88" s="35"/>
      <c r="F88" s="36"/>
      <c r="G88" s="19">
        <f t="shared" si="3"/>
        <v>0</v>
      </c>
      <c r="H88" s="4"/>
      <c r="I88" s="46"/>
    </row>
    <row r="89" spans="1:9" s="53" customFormat="1" ht="50.25" customHeight="1">
      <c r="A89" s="221" t="s">
        <v>541</v>
      </c>
      <c r="B89" s="219" t="s">
        <v>542</v>
      </c>
      <c r="C89" s="4" t="s">
        <v>548</v>
      </c>
      <c r="D89" s="17">
        <v>0</v>
      </c>
      <c r="E89" s="4" t="s">
        <v>548</v>
      </c>
      <c r="F89" s="19">
        <v>5905334</v>
      </c>
      <c r="G89" s="19">
        <f t="shared" si="3"/>
        <v>5905334</v>
      </c>
      <c r="H89" s="71">
        <v>19555</v>
      </c>
      <c r="I89" s="46"/>
    </row>
    <row r="90" spans="1:9" s="53" customFormat="1" ht="60" customHeight="1" hidden="1">
      <c r="A90" s="222"/>
      <c r="B90" s="220"/>
      <c r="C90" s="4" t="s">
        <v>46</v>
      </c>
      <c r="D90" s="17">
        <v>4380</v>
      </c>
      <c r="E90" s="4"/>
      <c r="F90" s="19"/>
      <c r="G90" s="19">
        <f>D90+F90</f>
        <v>4380</v>
      </c>
      <c r="H90" s="71"/>
      <c r="I90" s="46"/>
    </row>
    <row r="91" spans="1:9" s="20" customFormat="1" ht="47.25" hidden="1">
      <c r="A91" s="18" t="s">
        <v>329</v>
      </c>
      <c r="B91" s="4" t="s">
        <v>330</v>
      </c>
      <c r="C91" s="4" t="s">
        <v>496</v>
      </c>
      <c r="D91" s="17">
        <v>9209185</v>
      </c>
      <c r="E91" s="4"/>
      <c r="F91" s="9"/>
      <c r="G91" s="19">
        <f t="shared" si="3"/>
        <v>9209185</v>
      </c>
      <c r="H91" s="4"/>
      <c r="I91" s="46"/>
    </row>
    <row r="92" spans="1:9" s="20" customFormat="1" ht="63.75" customHeight="1" hidden="1">
      <c r="A92" s="18" t="s">
        <v>78</v>
      </c>
      <c r="B92" s="4" t="s">
        <v>79</v>
      </c>
      <c r="C92" s="4"/>
      <c r="D92" s="17"/>
      <c r="E92" s="4" t="s">
        <v>77</v>
      </c>
      <c r="F92" s="19">
        <v>35000</v>
      </c>
      <c r="G92" s="19">
        <f t="shared" si="3"/>
        <v>35000</v>
      </c>
      <c r="H92" s="4"/>
      <c r="I92" s="46"/>
    </row>
    <row r="93" spans="1:9" s="20" customFormat="1" ht="46.5" customHeight="1" hidden="1">
      <c r="A93" s="18" t="s">
        <v>293</v>
      </c>
      <c r="B93" s="4" t="s">
        <v>484</v>
      </c>
      <c r="C93" s="4" t="s">
        <v>216</v>
      </c>
      <c r="D93" s="17">
        <v>3146037</v>
      </c>
      <c r="E93" s="4"/>
      <c r="F93" s="9"/>
      <c r="G93" s="19">
        <f t="shared" si="3"/>
        <v>3146037</v>
      </c>
      <c r="H93" s="4"/>
      <c r="I93" s="46"/>
    </row>
    <row r="94" spans="1:9" s="20" customFormat="1" ht="52.5" customHeight="1" hidden="1">
      <c r="A94" s="18" t="s">
        <v>301</v>
      </c>
      <c r="B94" s="4" t="s">
        <v>302</v>
      </c>
      <c r="C94" s="4"/>
      <c r="D94" s="5"/>
      <c r="E94" s="4" t="s">
        <v>77</v>
      </c>
      <c r="F94" s="19">
        <v>11179599</v>
      </c>
      <c r="G94" s="19">
        <f t="shared" si="3"/>
        <v>11179599</v>
      </c>
      <c r="H94" s="71"/>
      <c r="I94" s="46"/>
    </row>
    <row r="95" spans="1:9" s="20" customFormat="1" ht="36" customHeight="1" hidden="1">
      <c r="A95" s="217" t="s">
        <v>288</v>
      </c>
      <c r="B95" s="216" t="s">
        <v>322</v>
      </c>
      <c r="C95" s="4"/>
      <c r="D95" s="5"/>
      <c r="E95" s="4" t="s">
        <v>381</v>
      </c>
      <c r="F95" s="12"/>
      <c r="G95" s="9">
        <v>0</v>
      </c>
      <c r="H95" s="4"/>
      <c r="I95" s="46"/>
    </row>
    <row r="96" spans="1:9" s="20" customFormat="1" ht="33" customHeight="1" hidden="1">
      <c r="A96" s="217"/>
      <c r="B96" s="216"/>
      <c r="C96" s="4"/>
      <c r="D96" s="5"/>
      <c r="E96" s="4" t="s">
        <v>382</v>
      </c>
      <c r="F96" s="12"/>
      <c r="G96" s="9">
        <v>0</v>
      </c>
      <c r="H96" s="4"/>
      <c r="I96" s="46"/>
    </row>
    <row r="97" spans="1:9" s="20" customFormat="1" ht="49.5" customHeight="1" hidden="1">
      <c r="A97" s="22" t="s">
        <v>394</v>
      </c>
      <c r="B97" s="23" t="s">
        <v>268</v>
      </c>
      <c r="C97" s="4"/>
      <c r="D97" s="28">
        <f>D100+D103+D105+D106+D108+D109+D110+D111+D112+D113+D117+D119+D120+D101</f>
        <v>13820054</v>
      </c>
      <c r="E97" s="9"/>
      <c r="F97" s="28">
        <f>F98+F101+F105+F106+F108+F111+F114+F115</f>
        <v>4962683</v>
      </c>
      <c r="G97" s="28">
        <f>D97+F97</f>
        <v>18782737</v>
      </c>
      <c r="H97" s="71"/>
      <c r="I97" s="46"/>
    </row>
    <row r="98" spans="1:9" s="20" customFormat="1" ht="31.5" hidden="1">
      <c r="A98" s="217" t="s">
        <v>416</v>
      </c>
      <c r="B98" s="216" t="s">
        <v>417</v>
      </c>
      <c r="C98" s="4"/>
      <c r="D98" s="19"/>
      <c r="E98" s="4" t="s">
        <v>76</v>
      </c>
      <c r="F98" s="19">
        <v>523900</v>
      </c>
      <c r="G98" s="19">
        <f>D98+F98</f>
        <v>523900</v>
      </c>
      <c r="H98" s="4"/>
      <c r="I98" s="46"/>
    </row>
    <row r="99" spans="1:9" s="20" customFormat="1" ht="96.75" customHeight="1" hidden="1">
      <c r="A99" s="217"/>
      <c r="B99" s="216"/>
      <c r="C99" s="4" t="s">
        <v>482</v>
      </c>
      <c r="D99" s="17">
        <v>0</v>
      </c>
      <c r="E99" s="4"/>
      <c r="F99" s="9"/>
      <c r="G99" s="19">
        <f aca="true" t="shared" si="4" ref="G99:G120">D99+F99</f>
        <v>0</v>
      </c>
      <c r="H99" s="4"/>
      <c r="I99" s="46"/>
    </row>
    <row r="100" spans="1:9" s="20" customFormat="1" ht="64.5" customHeight="1" hidden="1">
      <c r="A100" s="217"/>
      <c r="B100" s="216"/>
      <c r="C100" s="4" t="s">
        <v>46</v>
      </c>
      <c r="D100" s="19">
        <v>5519</v>
      </c>
      <c r="E100" s="4"/>
      <c r="F100" s="9"/>
      <c r="G100" s="19">
        <f t="shared" si="4"/>
        <v>5519</v>
      </c>
      <c r="H100" s="4"/>
      <c r="I100" s="46"/>
    </row>
    <row r="101" spans="1:9" s="20" customFormat="1" ht="51.75" customHeight="1" hidden="1">
      <c r="A101" s="217" t="s">
        <v>296</v>
      </c>
      <c r="B101" s="216" t="s">
        <v>488</v>
      </c>
      <c r="C101" s="4" t="s">
        <v>46</v>
      </c>
      <c r="D101" s="19">
        <v>239</v>
      </c>
      <c r="E101" s="4" t="s">
        <v>95</v>
      </c>
      <c r="F101" s="19">
        <v>119850</v>
      </c>
      <c r="G101" s="19">
        <f t="shared" si="4"/>
        <v>120089</v>
      </c>
      <c r="H101" s="4"/>
      <c r="I101" s="46"/>
    </row>
    <row r="102" spans="1:9" s="20" customFormat="1" ht="63" hidden="1">
      <c r="A102" s="217"/>
      <c r="B102" s="216"/>
      <c r="C102" s="4" t="s">
        <v>538</v>
      </c>
      <c r="D102" s="17">
        <v>0</v>
      </c>
      <c r="E102" s="4"/>
      <c r="F102" s="19"/>
      <c r="G102" s="19">
        <f t="shared" si="4"/>
        <v>0</v>
      </c>
      <c r="H102" s="4"/>
      <c r="I102" s="46"/>
    </row>
    <row r="103" spans="1:9" s="20" customFormat="1" ht="47.25" hidden="1">
      <c r="A103" s="18" t="s">
        <v>297</v>
      </c>
      <c r="B103" s="4" t="s">
        <v>489</v>
      </c>
      <c r="C103" s="4" t="s">
        <v>95</v>
      </c>
      <c r="D103" s="17">
        <v>201763</v>
      </c>
      <c r="E103" s="4"/>
      <c r="F103" s="9"/>
      <c r="G103" s="19">
        <f t="shared" si="4"/>
        <v>201763</v>
      </c>
      <c r="H103" s="4"/>
      <c r="I103" s="46"/>
    </row>
    <row r="104" spans="1:9" s="20" customFormat="1" ht="47.25" hidden="1">
      <c r="A104" s="18" t="s">
        <v>298</v>
      </c>
      <c r="B104" s="4" t="s">
        <v>490</v>
      </c>
      <c r="C104" s="4"/>
      <c r="D104" s="17"/>
      <c r="E104" s="4"/>
      <c r="F104" s="9"/>
      <c r="G104" s="19">
        <f t="shared" si="4"/>
        <v>0</v>
      </c>
      <c r="H104" s="4"/>
      <c r="I104" s="46"/>
    </row>
    <row r="105" spans="1:9" s="20" customFormat="1" ht="47.25" customHeight="1" hidden="1">
      <c r="A105" s="217" t="s">
        <v>414</v>
      </c>
      <c r="B105" s="216" t="s">
        <v>415</v>
      </c>
      <c r="C105" s="4" t="s">
        <v>71</v>
      </c>
      <c r="D105" s="17">
        <v>3925134</v>
      </c>
      <c r="E105" s="4" t="s">
        <v>96</v>
      </c>
      <c r="F105" s="19">
        <v>53060</v>
      </c>
      <c r="G105" s="19">
        <f t="shared" si="4"/>
        <v>3978194</v>
      </c>
      <c r="H105" s="4"/>
      <c r="I105" s="46"/>
    </row>
    <row r="106" spans="1:9" s="20" customFormat="1" ht="50.25" customHeight="1" hidden="1">
      <c r="A106" s="217"/>
      <c r="B106" s="216"/>
      <c r="C106" s="4" t="s">
        <v>20</v>
      </c>
      <c r="D106" s="17">
        <v>24192</v>
      </c>
      <c r="E106" s="4" t="s">
        <v>20</v>
      </c>
      <c r="F106" s="19">
        <v>24192</v>
      </c>
      <c r="G106" s="19">
        <f t="shared" si="4"/>
        <v>48384</v>
      </c>
      <c r="H106" s="4"/>
      <c r="I106" s="46"/>
    </row>
    <row r="107" spans="1:9" s="20" customFormat="1" ht="110.25" customHeight="1" hidden="1">
      <c r="A107" s="217"/>
      <c r="B107" s="216"/>
      <c r="C107" s="4"/>
      <c r="D107" s="17"/>
      <c r="E107" s="4"/>
      <c r="F107" s="9"/>
      <c r="G107" s="19">
        <f t="shared" si="4"/>
        <v>0</v>
      </c>
      <c r="H107" s="4"/>
      <c r="I107" s="46"/>
    </row>
    <row r="108" spans="1:9" s="20" customFormat="1" ht="51" customHeight="1" hidden="1">
      <c r="A108" s="217"/>
      <c r="B108" s="216"/>
      <c r="C108" s="35" t="s">
        <v>214</v>
      </c>
      <c r="D108" s="37">
        <v>3500</v>
      </c>
      <c r="E108" s="35" t="s">
        <v>214</v>
      </c>
      <c r="F108" s="37">
        <v>23400</v>
      </c>
      <c r="G108" s="19">
        <f t="shared" si="4"/>
        <v>26900</v>
      </c>
      <c r="H108" s="4"/>
      <c r="I108" s="46"/>
    </row>
    <row r="109" spans="1:9" s="20" customFormat="1" ht="63" hidden="1">
      <c r="A109" s="217"/>
      <c r="B109" s="216"/>
      <c r="C109" s="4" t="s">
        <v>46</v>
      </c>
      <c r="D109" s="9">
        <v>8307</v>
      </c>
      <c r="E109" s="35"/>
      <c r="F109" s="37"/>
      <c r="G109" s="19">
        <f t="shared" si="4"/>
        <v>8307</v>
      </c>
      <c r="H109" s="4"/>
      <c r="I109" s="46"/>
    </row>
    <row r="110" spans="1:9" s="20" customFormat="1" ht="49.5" customHeight="1" hidden="1">
      <c r="A110" s="217" t="s">
        <v>240</v>
      </c>
      <c r="B110" s="216" t="s">
        <v>234</v>
      </c>
      <c r="C110" s="4" t="s">
        <v>72</v>
      </c>
      <c r="D110" s="17">
        <v>972100</v>
      </c>
      <c r="E110" s="4"/>
      <c r="F110" s="9"/>
      <c r="G110" s="19">
        <f t="shared" si="4"/>
        <v>972100</v>
      </c>
      <c r="H110" s="4"/>
      <c r="I110" s="46"/>
    </row>
    <row r="111" spans="1:9" s="20" customFormat="1" ht="47.25" hidden="1">
      <c r="A111" s="217"/>
      <c r="B111" s="216"/>
      <c r="C111" s="35" t="s">
        <v>518</v>
      </c>
      <c r="D111" s="37">
        <v>0</v>
      </c>
      <c r="E111" s="35" t="s">
        <v>518</v>
      </c>
      <c r="F111" s="37">
        <v>0</v>
      </c>
      <c r="G111" s="19">
        <f t="shared" si="4"/>
        <v>0</v>
      </c>
      <c r="H111" s="4"/>
      <c r="I111" s="46"/>
    </row>
    <row r="112" spans="1:9" s="20" customFormat="1" ht="48" customHeight="1" hidden="1">
      <c r="A112" s="217" t="s">
        <v>303</v>
      </c>
      <c r="B112" s="216" t="s">
        <v>310</v>
      </c>
      <c r="C112" s="4" t="s">
        <v>72</v>
      </c>
      <c r="D112" s="17">
        <v>7134400</v>
      </c>
      <c r="E112" s="4"/>
      <c r="F112" s="9"/>
      <c r="G112" s="19">
        <f>D112+F112</f>
        <v>7134400</v>
      </c>
      <c r="H112" s="4"/>
      <c r="I112" s="46"/>
    </row>
    <row r="113" spans="1:9" s="20" customFormat="1" ht="47.25" hidden="1">
      <c r="A113" s="217"/>
      <c r="B113" s="216"/>
      <c r="C113" s="35" t="s">
        <v>518</v>
      </c>
      <c r="D113" s="38">
        <v>0</v>
      </c>
      <c r="E113" s="35"/>
      <c r="F113" s="37"/>
      <c r="G113" s="19">
        <f t="shared" si="4"/>
        <v>0</v>
      </c>
      <c r="H113" s="4"/>
      <c r="I113" s="46"/>
    </row>
    <row r="114" spans="1:9" s="20" customFormat="1" ht="48" customHeight="1" hidden="1">
      <c r="A114" s="217" t="s">
        <v>301</v>
      </c>
      <c r="B114" s="216" t="s">
        <v>302</v>
      </c>
      <c r="C114" s="4"/>
      <c r="D114" s="17"/>
      <c r="E114" s="4" t="s">
        <v>525</v>
      </c>
      <c r="F114" s="12">
        <v>0</v>
      </c>
      <c r="G114" s="19">
        <f t="shared" si="4"/>
        <v>0</v>
      </c>
      <c r="H114" s="4"/>
      <c r="I114" s="46"/>
    </row>
    <row r="115" spans="1:9" s="20" customFormat="1" ht="45.75" customHeight="1" hidden="1">
      <c r="A115" s="217"/>
      <c r="B115" s="216"/>
      <c r="C115" s="4"/>
      <c r="D115" s="5"/>
      <c r="E115" s="4" t="s">
        <v>97</v>
      </c>
      <c r="F115" s="12">
        <v>4218281</v>
      </c>
      <c r="G115" s="19">
        <f t="shared" si="4"/>
        <v>4218281</v>
      </c>
      <c r="H115" s="4"/>
      <c r="I115" s="46"/>
    </row>
    <row r="116" spans="1:9" s="20" customFormat="1" ht="52.5" customHeight="1" hidden="1">
      <c r="A116" s="18" t="s">
        <v>250</v>
      </c>
      <c r="B116" s="216" t="s">
        <v>486</v>
      </c>
      <c r="C116" s="4" t="s">
        <v>383</v>
      </c>
      <c r="D116" s="17"/>
      <c r="E116" s="4"/>
      <c r="F116" s="16"/>
      <c r="G116" s="19">
        <f t="shared" si="4"/>
        <v>0</v>
      </c>
      <c r="H116" s="4"/>
      <c r="I116" s="46"/>
    </row>
    <row r="117" spans="1:9" s="20" customFormat="1" ht="53.25" customHeight="1" hidden="1">
      <c r="A117" s="217" t="s">
        <v>250</v>
      </c>
      <c r="B117" s="216"/>
      <c r="C117" s="4" t="s">
        <v>72</v>
      </c>
      <c r="D117" s="17">
        <v>174150</v>
      </c>
      <c r="E117" s="4"/>
      <c r="F117" s="16"/>
      <c r="G117" s="19">
        <f t="shared" si="4"/>
        <v>174150</v>
      </c>
      <c r="H117" s="4"/>
      <c r="I117" s="46"/>
    </row>
    <row r="118" spans="1:9" s="20" customFormat="1" ht="62.25" customHeight="1" hidden="1">
      <c r="A118" s="217"/>
      <c r="B118" s="216"/>
      <c r="C118" s="4" t="s">
        <v>482</v>
      </c>
      <c r="D118" s="17"/>
      <c r="E118" s="4"/>
      <c r="F118" s="16"/>
      <c r="G118" s="19">
        <f t="shared" si="4"/>
        <v>0</v>
      </c>
      <c r="H118" s="4"/>
      <c r="I118" s="46"/>
    </row>
    <row r="119" spans="1:9" s="20" customFormat="1" ht="57" customHeight="1" hidden="1">
      <c r="A119" s="18" t="s">
        <v>304</v>
      </c>
      <c r="B119" s="4" t="s">
        <v>487</v>
      </c>
      <c r="C119" s="4" t="s">
        <v>72</v>
      </c>
      <c r="D119" s="17">
        <v>500000</v>
      </c>
      <c r="E119" s="4"/>
      <c r="F119" s="16"/>
      <c r="G119" s="19">
        <f t="shared" si="4"/>
        <v>500000</v>
      </c>
      <c r="H119" s="4"/>
      <c r="I119" s="46"/>
    </row>
    <row r="120" spans="1:9" s="20" customFormat="1" ht="51" customHeight="1" hidden="1">
      <c r="A120" s="18" t="s">
        <v>334</v>
      </c>
      <c r="B120" s="4" t="s">
        <v>474</v>
      </c>
      <c r="C120" s="4" t="s">
        <v>72</v>
      </c>
      <c r="D120" s="17">
        <v>870750</v>
      </c>
      <c r="E120" s="4"/>
      <c r="F120" s="16"/>
      <c r="G120" s="19">
        <f t="shared" si="4"/>
        <v>870750</v>
      </c>
      <c r="H120" s="4"/>
      <c r="I120" s="46"/>
    </row>
    <row r="121" spans="1:9" s="20" customFormat="1" ht="68.25" customHeight="1" hidden="1">
      <c r="A121" s="22" t="s">
        <v>427</v>
      </c>
      <c r="B121" s="23" t="s">
        <v>431</v>
      </c>
      <c r="C121" s="4"/>
      <c r="D121" s="24">
        <v>0</v>
      </c>
      <c r="E121" s="4"/>
      <c r="F121" s="24">
        <v>0</v>
      </c>
      <c r="G121" s="24">
        <v>0</v>
      </c>
      <c r="H121" s="4"/>
      <c r="I121" s="46"/>
    </row>
    <row r="122" spans="1:9" s="20" customFormat="1" ht="31.5" hidden="1">
      <c r="A122" s="18" t="s">
        <v>416</v>
      </c>
      <c r="B122" s="4" t="s">
        <v>417</v>
      </c>
      <c r="C122" s="4" t="s">
        <v>428</v>
      </c>
      <c r="D122" s="17"/>
      <c r="E122" s="4" t="s">
        <v>428</v>
      </c>
      <c r="F122" s="12"/>
      <c r="G122" s="9">
        <v>0</v>
      </c>
      <c r="H122" s="4"/>
      <c r="I122" s="46"/>
    </row>
    <row r="123" spans="1:9" s="20" customFormat="1" ht="63" hidden="1">
      <c r="A123" s="22" t="s">
        <v>438</v>
      </c>
      <c r="B123" s="23" t="s">
        <v>439</v>
      </c>
      <c r="C123" s="4"/>
      <c r="D123" s="24">
        <f>D124</f>
        <v>0</v>
      </c>
      <c r="E123" s="4"/>
      <c r="F123" s="24">
        <f>F124</f>
        <v>7000</v>
      </c>
      <c r="G123" s="24">
        <f>D123+F123</f>
        <v>7000</v>
      </c>
      <c r="H123" s="4"/>
      <c r="I123" s="46"/>
    </row>
    <row r="124" spans="1:9" s="20" customFormat="1" ht="31.5" hidden="1">
      <c r="A124" s="18" t="s">
        <v>416</v>
      </c>
      <c r="B124" s="4" t="s">
        <v>417</v>
      </c>
      <c r="C124" s="4"/>
      <c r="D124" s="17"/>
      <c r="E124" s="4" t="s">
        <v>76</v>
      </c>
      <c r="F124" s="12">
        <v>7000</v>
      </c>
      <c r="G124" s="19">
        <f>D124+F124</f>
        <v>7000</v>
      </c>
      <c r="H124" s="4"/>
      <c r="I124" s="46"/>
    </row>
    <row r="125" spans="1:9" s="20" customFormat="1" ht="35.25" customHeight="1">
      <c r="A125" s="22" t="s">
        <v>399</v>
      </c>
      <c r="B125" s="23" t="s">
        <v>271</v>
      </c>
      <c r="C125" s="4"/>
      <c r="D125" s="24">
        <f>D127+D129+D130+D131+D132+D133+D135+D137+D138+D140+D141+D142+D128+D134+D143+D139+D136</f>
        <v>8363013</v>
      </c>
      <c r="E125" s="5"/>
      <c r="F125" s="24">
        <f>F127+F129+F130+F132+F133+F135+F140+F141+F144+F145+F137</f>
        <v>4246260</v>
      </c>
      <c r="G125" s="28">
        <f>D125+F125</f>
        <v>12609273</v>
      </c>
      <c r="H125" s="71"/>
      <c r="I125" s="46"/>
    </row>
    <row r="126" spans="1:9" s="20" customFormat="1" ht="31.5" hidden="1">
      <c r="A126" s="18" t="s">
        <v>416</v>
      </c>
      <c r="B126" s="4" t="s">
        <v>417</v>
      </c>
      <c r="C126" s="4" t="s">
        <v>430</v>
      </c>
      <c r="D126" s="17"/>
      <c r="E126" s="4"/>
      <c r="F126" s="19"/>
      <c r="G126" s="16">
        <v>0</v>
      </c>
      <c r="H126" s="4"/>
      <c r="I126" s="46"/>
    </row>
    <row r="127" spans="1:9" s="20" customFormat="1" ht="54" customHeight="1">
      <c r="A127" s="217" t="s">
        <v>410</v>
      </c>
      <c r="B127" s="216" t="s">
        <v>411</v>
      </c>
      <c r="C127" s="4" t="s">
        <v>213</v>
      </c>
      <c r="D127" s="17">
        <v>599140</v>
      </c>
      <c r="E127" s="4" t="s">
        <v>213</v>
      </c>
      <c r="F127" s="19">
        <v>1321</v>
      </c>
      <c r="G127" s="12">
        <f>D127+F127</f>
        <v>600461</v>
      </c>
      <c r="H127" s="71">
        <v>0</v>
      </c>
      <c r="I127" s="46"/>
    </row>
    <row r="128" spans="1:9" s="20" customFormat="1" ht="65.25" customHeight="1" hidden="1">
      <c r="A128" s="217"/>
      <c r="B128" s="216"/>
      <c r="C128" s="4" t="s">
        <v>46</v>
      </c>
      <c r="D128" s="17">
        <v>279</v>
      </c>
      <c r="E128" s="4"/>
      <c r="F128" s="19"/>
      <c r="G128" s="12">
        <f aca="true" t="shared" si="5" ref="G128:G144">D128+F128</f>
        <v>279</v>
      </c>
      <c r="H128" s="4"/>
      <c r="I128" s="46"/>
    </row>
    <row r="129" spans="1:9" s="20" customFormat="1" ht="54" customHeight="1">
      <c r="A129" s="217" t="s">
        <v>412</v>
      </c>
      <c r="B129" s="216" t="s">
        <v>413</v>
      </c>
      <c r="C129" s="4" t="s">
        <v>213</v>
      </c>
      <c r="D129" s="17">
        <v>2188093</v>
      </c>
      <c r="E129" s="4" t="s">
        <v>213</v>
      </c>
      <c r="F129" s="19">
        <v>207061</v>
      </c>
      <c r="G129" s="12">
        <f t="shared" si="5"/>
        <v>2395154</v>
      </c>
      <c r="H129" s="71">
        <v>0</v>
      </c>
      <c r="I129" s="46"/>
    </row>
    <row r="130" spans="1:9" s="20" customFormat="1" ht="47.25" hidden="1">
      <c r="A130" s="217"/>
      <c r="B130" s="216"/>
      <c r="C130" s="35" t="s">
        <v>214</v>
      </c>
      <c r="D130" s="36">
        <v>500</v>
      </c>
      <c r="E130" s="35" t="s">
        <v>214</v>
      </c>
      <c r="F130" s="36">
        <v>59018</v>
      </c>
      <c r="G130" s="12">
        <f t="shared" si="5"/>
        <v>59518</v>
      </c>
      <c r="H130" s="4"/>
      <c r="I130" s="46"/>
    </row>
    <row r="131" spans="1:9" s="20" customFormat="1" ht="66.75" customHeight="1" hidden="1">
      <c r="A131" s="217"/>
      <c r="B131" s="216"/>
      <c r="C131" s="4" t="s">
        <v>46</v>
      </c>
      <c r="D131" s="19">
        <v>2511</v>
      </c>
      <c r="E131" s="35"/>
      <c r="F131" s="36"/>
      <c r="G131" s="12">
        <f t="shared" si="5"/>
        <v>2511</v>
      </c>
      <c r="H131" s="4"/>
      <c r="I131" s="46"/>
    </row>
    <row r="132" spans="1:9" s="20" customFormat="1" ht="54" customHeight="1">
      <c r="A132" s="221" t="s">
        <v>420</v>
      </c>
      <c r="B132" s="219" t="s">
        <v>421</v>
      </c>
      <c r="C132" s="4" t="s">
        <v>213</v>
      </c>
      <c r="D132" s="17">
        <v>1255924</v>
      </c>
      <c r="E132" s="4" t="s">
        <v>213</v>
      </c>
      <c r="F132" s="19">
        <v>1931965</v>
      </c>
      <c r="G132" s="12">
        <f t="shared" si="5"/>
        <v>3187889</v>
      </c>
      <c r="H132" s="73">
        <f>149214+58070+7900+19790+167074+132486</f>
        <v>534534</v>
      </c>
      <c r="I132" s="72"/>
    </row>
    <row r="133" spans="1:9" s="20" customFormat="1" ht="47.25" hidden="1">
      <c r="A133" s="223"/>
      <c r="B133" s="279"/>
      <c r="C133" s="35" t="s">
        <v>214</v>
      </c>
      <c r="D133" s="36">
        <v>0</v>
      </c>
      <c r="E133" s="35" t="s">
        <v>214</v>
      </c>
      <c r="F133" s="36">
        <v>4920</v>
      </c>
      <c r="G133" s="12">
        <f t="shared" si="5"/>
        <v>4920</v>
      </c>
      <c r="H133" s="4"/>
      <c r="I133" s="46"/>
    </row>
    <row r="134" spans="1:9" s="20" customFormat="1" ht="63" hidden="1">
      <c r="A134" s="222"/>
      <c r="B134" s="220"/>
      <c r="C134" s="4" t="s">
        <v>46</v>
      </c>
      <c r="D134" s="19">
        <v>5829</v>
      </c>
      <c r="E134" s="35"/>
      <c r="F134" s="36"/>
      <c r="G134" s="12">
        <f>D134+F134</f>
        <v>5829</v>
      </c>
      <c r="H134" s="4"/>
      <c r="I134" s="46"/>
    </row>
    <row r="135" spans="1:9" s="20" customFormat="1" ht="51" customHeight="1">
      <c r="A135" s="217" t="s">
        <v>418</v>
      </c>
      <c r="B135" s="216" t="s">
        <v>419</v>
      </c>
      <c r="C135" s="4" t="s">
        <v>213</v>
      </c>
      <c r="D135" s="17">
        <v>536069</v>
      </c>
      <c r="E135" s="4" t="s">
        <v>213</v>
      </c>
      <c r="F135" s="19">
        <v>1820736</v>
      </c>
      <c r="G135" s="12">
        <f t="shared" si="5"/>
        <v>2356805</v>
      </c>
      <c r="H135" s="71">
        <v>321482</v>
      </c>
      <c r="I135" s="46"/>
    </row>
    <row r="136" spans="1:9" s="20" customFormat="1" ht="63" hidden="1">
      <c r="A136" s="217"/>
      <c r="B136" s="216"/>
      <c r="C136" s="4" t="s">
        <v>46</v>
      </c>
      <c r="D136" s="17">
        <v>2232</v>
      </c>
      <c r="E136" s="35"/>
      <c r="F136" s="36"/>
      <c r="G136" s="12">
        <f t="shared" si="5"/>
        <v>2232</v>
      </c>
      <c r="H136" s="4"/>
      <c r="I136" s="46"/>
    </row>
    <row r="137" spans="1:9" s="20" customFormat="1" ht="66" customHeight="1" hidden="1">
      <c r="A137" s="217"/>
      <c r="B137" s="216"/>
      <c r="C137" s="4"/>
      <c r="D137" s="17"/>
      <c r="E137" s="35" t="s">
        <v>214</v>
      </c>
      <c r="F137" s="36">
        <v>3000</v>
      </c>
      <c r="G137" s="12">
        <f t="shared" si="5"/>
        <v>3000</v>
      </c>
      <c r="H137" s="4"/>
      <c r="I137" s="46"/>
    </row>
    <row r="138" spans="1:9" s="20" customFormat="1" ht="47.25" hidden="1">
      <c r="A138" s="280">
        <v>110300</v>
      </c>
      <c r="B138" s="219" t="s">
        <v>247</v>
      </c>
      <c r="C138" s="4" t="s">
        <v>215</v>
      </c>
      <c r="D138" s="21">
        <v>1114809</v>
      </c>
      <c r="E138" s="4"/>
      <c r="F138" s="36"/>
      <c r="G138" s="12">
        <f t="shared" si="5"/>
        <v>1114809</v>
      </c>
      <c r="H138" s="4"/>
      <c r="I138" s="46"/>
    </row>
    <row r="139" spans="1:9" s="20" customFormat="1" ht="63" hidden="1">
      <c r="A139" s="281"/>
      <c r="B139" s="220"/>
      <c r="C139" s="4" t="s">
        <v>46</v>
      </c>
      <c r="D139" s="21">
        <v>13116</v>
      </c>
      <c r="E139" s="4"/>
      <c r="F139" s="36"/>
      <c r="G139" s="12">
        <f t="shared" si="5"/>
        <v>13116</v>
      </c>
      <c r="H139" s="4"/>
      <c r="I139" s="46"/>
    </row>
    <row r="140" spans="1:9" s="20" customFormat="1" ht="31.5">
      <c r="A140" s="215">
        <v>110502</v>
      </c>
      <c r="B140" s="216" t="s">
        <v>235</v>
      </c>
      <c r="C140" s="4" t="s">
        <v>210</v>
      </c>
      <c r="D140" s="15">
        <v>1693819</v>
      </c>
      <c r="E140" s="4" t="s">
        <v>98</v>
      </c>
      <c r="F140" s="16">
        <v>42020</v>
      </c>
      <c r="G140" s="12">
        <f t="shared" si="5"/>
        <v>1735839</v>
      </c>
      <c r="H140" s="71"/>
      <c r="I140" s="46"/>
    </row>
    <row r="141" spans="1:9" s="20" customFormat="1" ht="51" customHeight="1">
      <c r="A141" s="215"/>
      <c r="B141" s="216"/>
      <c r="C141" s="4" t="s">
        <v>213</v>
      </c>
      <c r="D141" s="15">
        <v>925412</v>
      </c>
      <c r="E141" s="4" t="s">
        <v>213</v>
      </c>
      <c r="F141" s="12">
        <v>39696</v>
      </c>
      <c r="G141" s="12">
        <f t="shared" si="5"/>
        <v>965108</v>
      </c>
      <c r="H141" s="4"/>
      <c r="I141" s="46"/>
    </row>
    <row r="142" spans="1:9" s="20" customFormat="1" ht="55.5" customHeight="1" hidden="1">
      <c r="A142" s="215"/>
      <c r="B142" s="216"/>
      <c r="C142" s="4" t="s">
        <v>209</v>
      </c>
      <c r="D142" s="15">
        <v>20000</v>
      </c>
      <c r="E142" s="35"/>
      <c r="F142" s="16"/>
      <c r="G142" s="12">
        <f t="shared" si="5"/>
        <v>20000</v>
      </c>
      <c r="H142" s="4"/>
      <c r="I142" s="46"/>
    </row>
    <row r="143" spans="1:9" s="20" customFormat="1" ht="68.25" customHeight="1" hidden="1">
      <c r="A143" s="215"/>
      <c r="B143" s="216"/>
      <c r="C143" s="4" t="s">
        <v>46</v>
      </c>
      <c r="D143" s="15">
        <v>5280</v>
      </c>
      <c r="E143" s="4"/>
      <c r="F143" s="16"/>
      <c r="G143" s="12">
        <f t="shared" si="5"/>
        <v>5280</v>
      </c>
      <c r="H143" s="4"/>
      <c r="I143" s="46"/>
    </row>
    <row r="144" spans="1:9" s="20" customFormat="1" ht="47.25" hidden="1">
      <c r="A144" s="215"/>
      <c r="B144" s="216"/>
      <c r="C144" s="4"/>
      <c r="D144" s="15"/>
      <c r="E144" s="35" t="s">
        <v>518</v>
      </c>
      <c r="F144" s="36"/>
      <c r="G144" s="12">
        <f t="shared" si="5"/>
        <v>0</v>
      </c>
      <c r="H144" s="4"/>
      <c r="I144" s="46"/>
    </row>
    <row r="145" spans="1:9" s="20" customFormat="1" ht="47.25" hidden="1">
      <c r="A145" s="18" t="s">
        <v>301</v>
      </c>
      <c r="B145" s="4" t="s">
        <v>302</v>
      </c>
      <c r="C145" s="4"/>
      <c r="D145" s="5"/>
      <c r="E145" s="4" t="s">
        <v>213</v>
      </c>
      <c r="F145" s="19">
        <v>136523</v>
      </c>
      <c r="G145" s="12">
        <f>D145+F145</f>
        <v>136523</v>
      </c>
      <c r="H145" s="71"/>
      <c r="I145" s="46"/>
    </row>
    <row r="146" spans="1:9" s="20" customFormat="1" ht="47.25" hidden="1">
      <c r="A146" s="22" t="s">
        <v>550</v>
      </c>
      <c r="B146" s="23" t="s">
        <v>551</v>
      </c>
      <c r="C146" s="4"/>
      <c r="D146" s="24">
        <v>0</v>
      </c>
      <c r="E146" s="5"/>
      <c r="F146" s="28">
        <v>0</v>
      </c>
      <c r="G146" s="27">
        <v>0</v>
      </c>
      <c r="H146" s="71"/>
      <c r="I146" s="46"/>
    </row>
    <row r="147" spans="1:9" s="20" customFormat="1" ht="47.25" hidden="1">
      <c r="A147" s="18" t="s">
        <v>416</v>
      </c>
      <c r="B147" s="4" t="s">
        <v>417</v>
      </c>
      <c r="C147" s="4"/>
      <c r="D147" s="5"/>
      <c r="E147" s="55" t="s">
        <v>523</v>
      </c>
      <c r="F147" s="56">
        <v>0</v>
      </c>
      <c r="G147" s="9">
        <v>0</v>
      </c>
      <c r="H147" s="71"/>
      <c r="I147" s="46"/>
    </row>
    <row r="148" spans="1:9" s="20" customFormat="1" ht="54" customHeight="1" hidden="1">
      <c r="A148" s="22" t="s">
        <v>398</v>
      </c>
      <c r="B148" s="23" t="s">
        <v>424</v>
      </c>
      <c r="C148" s="4"/>
      <c r="D148" s="24">
        <f>D149+D150+D151+D152</f>
        <v>228711</v>
      </c>
      <c r="E148" s="5"/>
      <c r="F148" s="28">
        <f>F149+F150</f>
        <v>1000201</v>
      </c>
      <c r="G148" s="28">
        <f aca="true" t="shared" si="6" ref="G148:G178">D148+F148</f>
        <v>1228912</v>
      </c>
      <c r="H148" s="71"/>
      <c r="I148" s="46"/>
    </row>
    <row r="149" spans="1:9" s="20" customFormat="1" ht="31.5" hidden="1">
      <c r="A149" s="18" t="s">
        <v>416</v>
      </c>
      <c r="B149" s="4" t="s">
        <v>417</v>
      </c>
      <c r="C149" s="4"/>
      <c r="D149" s="17"/>
      <c r="E149" s="4" t="s">
        <v>76</v>
      </c>
      <c r="F149" s="19">
        <v>14000</v>
      </c>
      <c r="G149" s="19">
        <f t="shared" si="6"/>
        <v>14000</v>
      </c>
      <c r="H149" s="4"/>
      <c r="I149" s="46"/>
    </row>
    <row r="150" spans="1:9" s="20" customFormat="1" ht="47.25" hidden="1">
      <c r="A150" s="18" t="s">
        <v>301</v>
      </c>
      <c r="B150" s="4" t="s">
        <v>302</v>
      </c>
      <c r="C150" s="4"/>
      <c r="D150" s="5"/>
      <c r="E150" s="4" t="s">
        <v>73</v>
      </c>
      <c r="F150" s="19">
        <v>986201</v>
      </c>
      <c r="G150" s="19">
        <f t="shared" si="6"/>
        <v>986201</v>
      </c>
      <c r="H150" s="4"/>
      <c r="I150" s="46"/>
    </row>
    <row r="151" spans="1:9" s="20" customFormat="1" ht="66" customHeight="1" hidden="1">
      <c r="A151" s="18" t="s">
        <v>294</v>
      </c>
      <c r="B151" s="4" t="s">
        <v>309</v>
      </c>
      <c r="C151" s="4" t="s">
        <v>19</v>
      </c>
      <c r="D151" s="17">
        <v>120711</v>
      </c>
      <c r="E151" s="4"/>
      <c r="F151" s="9"/>
      <c r="G151" s="19">
        <f t="shared" si="6"/>
        <v>120711</v>
      </c>
      <c r="H151" s="4"/>
      <c r="I151" s="46"/>
    </row>
    <row r="152" spans="1:9" s="20" customFormat="1" ht="47.25" hidden="1">
      <c r="A152" s="18" t="s">
        <v>319</v>
      </c>
      <c r="B152" s="4" t="s">
        <v>472</v>
      </c>
      <c r="C152" s="4" t="s">
        <v>11</v>
      </c>
      <c r="D152" s="17">
        <v>108000</v>
      </c>
      <c r="E152" s="4"/>
      <c r="F152" s="9"/>
      <c r="G152" s="19">
        <f t="shared" si="6"/>
        <v>108000</v>
      </c>
      <c r="H152" s="4"/>
      <c r="I152" s="46"/>
    </row>
    <row r="153" spans="1:9" s="20" customFormat="1" ht="47.25" hidden="1">
      <c r="A153" s="22" t="s">
        <v>433</v>
      </c>
      <c r="B153" s="23" t="s">
        <v>434</v>
      </c>
      <c r="C153" s="4"/>
      <c r="D153" s="24">
        <f>D154</f>
        <v>0</v>
      </c>
      <c r="E153" s="5"/>
      <c r="F153" s="24">
        <f>F154</f>
        <v>0</v>
      </c>
      <c r="G153" s="24">
        <f t="shared" si="6"/>
        <v>0</v>
      </c>
      <c r="H153" s="71"/>
      <c r="I153" s="46"/>
    </row>
    <row r="154" spans="1:9" s="20" customFormat="1" ht="48.75" customHeight="1" hidden="1">
      <c r="A154" s="18" t="s">
        <v>416</v>
      </c>
      <c r="B154" s="4" t="s">
        <v>417</v>
      </c>
      <c r="C154" s="4"/>
      <c r="D154" s="17"/>
      <c r="E154" s="4"/>
      <c r="F154" s="19">
        <v>0</v>
      </c>
      <c r="G154" s="24">
        <f t="shared" si="6"/>
        <v>0</v>
      </c>
      <c r="H154" s="4"/>
      <c r="I154" s="46"/>
    </row>
    <row r="155" spans="1:9" s="20" customFormat="1" ht="45.75" customHeight="1" hidden="1">
      <c r="A155" s="22" t="s">
        <v>396</v>
      </c>
      <c r="B155" s="23" t="s">
        <v>479</v>
      </c>
      <c r="C155" s="4"/>
      <c r="D155" s="24">
        <f>D157+D158+D159+D160+D166+D167+D179+D180+D164</f>
        <v>99545109</v>
      </c>
      <c r="E155" s="5"/>
      <c r="F155" s="28">
        <f>F156+F157+F158+F159+F160+F161+F163+F165+F166+F167+F169+F170+F172+F173+F174+F176+F177+F178+F179+F180+F164</f>
        <v>111898725</v>
      </c>
      <c r="G155" s="28">
        <f t="shared" si="6"/>
        <v>211443834</v>
      </c>
      <c r="H155" s="71"/>
      <c r="I155" s="46"/>
    </row>
    <row r="156" spans="1:9" s="20" customFormat="1" ht="45.75" customHeight="1" hidden="1">
      <c r="A156" s="217" t="s">
        <v>416</v>
      </c>
      <c r="B156" s="216" t="s">
        <v>417</v>
      </c>
      <c r="C156" s="4"/>
      <c r="D156" s="24"/>
      <c r="E156" s="4" t="s">
        <v>76</v>
      </c>
      <c r="F156" s="19">
        <v>35000</v>
      </c>
      <c r="G156" s="19">
        <f t="shared" si="6"/>
        <v>35000</v>
      </c>
      <c r="H156" s="71"/>
      <c r="I156" s="46"/>
    </row>
    <row r="157" spans="1:9" s="20" customFormat="1" ht="61.5" customHeight="1" hidden="1">
      <c r="A157" s="217"/>
      <c r="B157" s="216"/>
      <c r="C157" s="4" t="s">
        <v>46</v>
      </c>
      <c r="D157" s="17">
        <v>746</v>
      </c>
      <c r="E157" s="4"/>
      <c r="F157" s="19"/>
      <c r="G157" s="19">
        <f t="shared" si="6"/>
        <v>746</v>
      </c>
      <c r="H157" s="4"/>
      <c r="I157" s="46"/>
    </row>
    <row r="158" spans="1:9" s="20" customFormat="1" ht="47.25" hidden="1">
      <c r="A158" s="18" t="s">
        <v>303</v>
      </c>
      <c r="B158" s="4" t="s">
        <v>310</v>
      </c>
      <c r="C158" s="4" t="s">
        <v>99</v>
      </c>
      <c r="D158" s="17">
        <v>131000</v>
      </c>
      <c r="E158" s="4"/>
      <c r="F158" s="9"/>
      <c r="G158" s="19">
        <f t="shared" si="6"/>
        <v>131000</v>
      </c>
      <c r="H158" s="4"/>
      <c r="I158" s="46"/>
    </row>
    <row r="159" spans="1:9" s="20" customFormat="1" ht="47.25" hidden="1">
      <c r="A159" s="217" t="s">
        <v>470</v>
      </c>
      <c r="B159" s="216" t="s">
        <v>471</v>
      </c>
      <c r="C159" s="4" t="s">
        <v>99</v>
      </c>
      <c r="D159" s="17">
        <v>10566800</v>
      </c>
      <c r="E159" s="4"/>
      <c r="F159" s="9"/>
      <c r="G159" s="19">
        <f t="shared" si="6"/>
        <v>10566800</v>
      </c>
      <c r="H159" s="4"/>
      <c r="I159" s="46"/>
    </row>
    <row r="160" spans="1:9" s="20" customFormat="1" ht="47.25" hidden="1">
      <c r="A160" s="217"/>
      <c r="B160" s="216"/>
      <c r="C160" s="35" t="s">
        <v>214</v>
      </c>
      <c r="D160" s="37">
        <v>64035</v>
      </c>
      <c r="E160" s="4"/>
      <c r="F160" s="9"/>
      <c r="G160" s="19">
        <f t="shared" si="6"/>
        <v>64035</v>
      </c>
      <c r="H160" s="4"/>
      <c r="I160" s="46"/>
    </row>
    <row r="161" spans="1:9" s="20" customFormat="1" ht="47.25" hidden="1">
      <c r="A161" s="217" t="s">
        <v>331</v>
      </c>
      <c r="B161" s="216" t="s">
        <v>332</v>
      </c>
      <c r="C161" s="4"/>
      <c r="D161" s="17"/>
      <c r="E161" s="4" t="s">
        <v>100</v>
      </c>
      <c r="F161" s="19">
        <v>33149648</v>
      </c>
      <c r="G161" s="19">
        <f t="shared" si="6"/>
        <v>33149648</v>
      </c>
      <c r="H161" s="4"/>
      <c r="I161" s="46"/>
    </row>
    <row r="162" spans="1:9" s="20" customFormat="1" ht="47.25" customHeight="1" hidden="1">
      <c r="A162" s="217"/>
      <c r="B162" s="216"/>
      <c r="C162" s="4" t="s">
        <v>526</v>
      </c>
      <c r="D162" s="17">
        <v>0</v>
      </c>
      <c r="E162" s="4" t="s">
        <v>526</v>
      </c>
      <c r="F162" s="9"/>
      <c r="G162" s="19">
        <f t="shared" si="6"/>
        <v>0</v>
      </c>
      <c r="H162" s="4"/>
      <c r="I162" s="46"/>
    </row>
    <row r="163" spans="1:9" s="20" customFormat="1" ht="47.25" hidden="1">
      <c r="A163" s="217"/>
      <c r="B163" s="216"/>
      <c r="C163" s="4"/>
      <c r="D163" s="17"/>
      <c r="E163" s="35" t="s">
        <v>214</v>
      </c>
      <c r="F163" s="37">
        <v>66475</v>
      </c>
      <c r="G163" s="19">
        <f t="shared" si="6"/>
        <v>66475</v>
      </c>
      <c r="H163" s="4"/>
      <c r="I163" s="46"/>
    </row>
    <row r="164" spans="1:9" s="20" customFormat="1" ht="47.25" hidden="1">
      <c r="A164" s="18" t="s">
        <v>81</v>
      </c>
      <c r="B164" s="4" t="s">
        <v>82</v>
      </c>
      <c r="C164" s="4" t="s">
        <v>101</v>
      </c>
      <c r="D164" s="17">
        <v>449300</v>
      </c>
      <c r="E164" s="35"/>
      <c r="F164" s="37"/>
      <c r="G164" s="19">
        <f>D164+F164</f>
        <v>449300</v>
      </c>
      <c r="H164" s="4"/>
      <c r="I164" s="46"/>
    </row>
    <row r="165" spans="1:9" s="20" customFormat="1" ht="56.25" customHeight="1" hidden="1">
      <c r="A165" s="18" t="s">
        <v>514</v>
      </c>
      <c r="B165" s="4" t="s">
        <v>515</v>
      </c>
      <c r="C165" s="4"/>
      <c r="D165" s="17"/>
      <c r="E165" s="4" t="s">
        <v>101</v>
      </c>
      <c r="F165" s="19">
        <v>780803</v>
      </c>
      <c r="G165" s="19">
        <f t="shared" si="6"/>
        <v>780803</v>
      </c>
      <c r="H165" s="4"/>
      <c r="I165" s="46"/>
    </row>
    <row r="166" spans="1:9" s="20" customFormat="1" ht="51.75" customHeight="1" hidden="1">
      <c r="A166" s="217" t="s">
        <v>311</v>
      </c>
      <c r="B166" s="216" t="s">
        <v>333</v>
      </c>
      <c r="C166" s="4" t="s">
        <v>103</v>
      </c>
      <c r="D166" s="17">
        <v>82050000</v>
      </c>
      <c r="E166" s="4" t="s">
        <v>102</v>
      </c>
      <c r="F166" s="19">
        <v>672751</v>
      </c>
      <c r="G166" s="19">
        <f t="shared" si="6"/>
        <v>82722751</v>
      </c>
      <c r="H166" s="4"/>
      <c r="I166" s="46"/>
    </row>
    <row r="167" spans="1:9" s="20" customFormat="1" ht="47.25" hidden="1">
      <c r="A167" s="217"/>
      <c r="B167" s="216"/>
      <c r="C167" s="35" t="s">
        <v>214</v>
      </c>
      <c r="D167" s="37">
        <v>0</v>
      </c>
      <c r="E167" s="35" t="s">
        <v>214</v>
      </c>
      <c r="F167" s="37">
        <v>30000</v>
      </c>
      <c r="G167" s="19">
        <f t="shared" si="6"/>
        <v>30000</v>
      </c>
      <c r="H167" s="4"/>
      <c r="I167" s="46"/>
    </row>
    <row r="168" spans="1:9" s="20" customFormat="1" ht="47.25" hidden="1">
      <c r="A168" s="18" t="s">
        <v>543</v>
      </c>
      <c r="B168" s="4" t="s">
        <v>544</v>
      </c>
      <c r="C168" s="35"/>
      <c r="D168" s="37"/>
      <c r="E168" s="4" t="s">
        <v>526</v>
      </c>
      <c r="F168" s="36">
        <v>0</v>
      </c>
      <c r="G168" s="19">
        <f t="shared" si="6"/>
        <v>0</v>
      </c>
      <c r="H168" s="4"/>
      <c r="I168" s="46"/>
    </row>
    <row r="169" spans="1:9" s="20" customFormat="1" ht="51" customHeight="1" hidden="1">
      <c r="A169" s="217" t="s">
        <v>301</v>
      </c>
      <c r="B169" s="216" t="s">
        <v>302</v>
      </c>
      <c r="C169" s="4"/>
      <c r="D169" s="5"/>
      <c r="E169" s="4" t="s">
        <v>104</v>
      </c>
      <c r="F169" s="12">
        <v>31435500</v>
      </c>
      <c r="G169" s="19">
        <f t="shared" si="6"/>
        <v>31435500</v>
      </c>
      <c r="H169" s="4"/>
      <c r="I169" s="46"/>
    </row>
    <row r="170" spans="1:9" s="20" customFormat="1" ht="47.25" hidden="1">
      <c r="A170" s="217"/>
      <c r="B170" s="216"/>
      <c r="C170" s="4"/>
      <c r="D170" s="5"/>
      <c r="E170" s="35" t="s">
        <v>214</v>
      </c>
      <c r="F170" s="37">
        <v>17235</v>
      </c>
      <c r="G170" s="19">
        <f t="shared" si="6"/>
        <v>17235</v>
      </c>
      <c r="H170" s="4"/>
      <c r="I170" s="46"/>
    </row>
    <row r="171" spans="1:9" s="51" customFormat="1" ht="46.5" customHeight="1" hidden="1">
      <c r="A171" s="221" t="s">
        <v>256</v>
      </c>
      <c r="B171" s="219" t="s">
        <v>455</v>
      </c>
      <c r="C171" s="4"/>
      <c r="D171" s="5"/>
      <c r="E171" s="4" t="s">
        <v>526</v>
      </c>
      <c r="F171" s="19">
        <v>0</v>
      </c>
      <c r="G171" s="19">
        <f t="shared" si="6"/>
        <v>0</v>
      </c>
      <c r="H171" s="4"/>
      <c r="I171" s="52"/>
    </row>
    <row r="172" spans="1:9" s="51" customFormat="1" ht="69.75" customHeight="1" hidden="1">
      <c r="A172" s="223"/>
      <c r="B172" s="279"/>
      <c r="C172" s="4"/>
      <c r="D172" s="5"/>
      <c r="E172" s="4" t="s">
        <v>105</v>
      </c>
      <c r="F172" s="19">
        <v>1529939</v>
      </c>
      <c r="G172" s="19">
        <f t="shared" si="6"/>
        <v>1529939</v>
      </c>
      <c r="H172" s="4"/>
      <c r="I172" s="52"/>
    </row>
    <row r="173" spans="1:9" s="51" customFormat="1" ht="87" customHeight="1" hidden="1">
      <c r="A173" s="222"/>
      <c r="B173" s="220"/>
      <c r="C173" s="4"/>
      <c r="D173" s="5"/>
      <c r="E173" s="4" t="s">
        <v>83</v>
      </c>
      <c r="F173" s="19">
        <v>187691</v>
      </c>
      <c r="G173" s="19">
        <f t="shared" si="6"/>
        <v>187691</v>
      </c>
      <c r="H173" s="4"/>
      <c r="I173" s="52"/>
    </row>
    <row r="174" spans="1:9" s="20" customFormat="1" ht="69.75" customHeight="1" hidden="1">
      <c r="A174" s="18" t="s">
        <v>313</v>
      </c>
      <c r="B174" s="4" t="s">
        <v>314</v>
      </c>
      <c r="C174" s="4"/>
      <c r="D174" s="5"/>
      <c r="E174" s="4" t="s">
        <v>80</v>
      </c>
      <c r="F174" s="19">
        <v>31540500</v>
      </c>
      <c r="G174" s="19">
        <f t="shared" si="6"/>
        <v>31540500</v>
      </c>
      <c r="H174" s="4"/>
      <c r="I174" s="46"/>
    </row>
    <row r="175" spans="1:9" s="20" customFormat="1" ht="27.75" customHeight="1" hidden="1">
      <c r="A175" s="4">
        <v>180107</v>
      </c>
      <c r="B175" s="4" t="s">
        <v>467</v>
      </c>
      <c r="C175" s="4"/>
      <c r="D175" s="17"/>
      <c r="E175" s="4" t="s">
        <v>485</v>
      </c>
      <c r="F175" s="19">
        <v>0</v>
      </c>
      <c r="G175" s="19">
        <f t="shared" si="6"/>
        <v>0</v>
      </c>
      <c r="H175" s="4"/>
      <c r="I175" s="46"/>
    </row>
    <row r="176" spans="1:9" s="20" customFormat="1" ht="63" customHeight="1" hidden="1">
      <c r="A176" s="216">
        <v>180409</v>
      </c>
      <c r="B176" s="216" t="s">
        <v>478</v>
      </c>
      <c r="C176" s="4"/>
      <c r="D176" s="17"/>
      <c r="E176" s="4" t="s">
        <v>106</v>
      </c>
      <c r="F176" s="19">
        <v>6226733</v>
      </c>
      <c r="G176" s="19">
        <f t="shared" si="6"/>
        <v>6226733</v>
      </c>
      <c r="H176" s="4"/>
      <c r="I176" s="46"/>
    </row>
    <row r="177" spans="1:9" s="20" customFormat="1" ht="63" hidden="1">
      <c r="A177" s="216"/>
      <c r="B177" s="216"/>
      <c r="C177" s="4"/>
      <c r="D177" s="17"/>
      <c r="E177" s="4" t="s">
        <v>74</v>
      </c>
      <c r="F177" s="19">
        <v>2688100</v>
      </c>
      <c r="G177" s="19">
        <f t="shared" si="6"/>
        <v>2688100</v>
      </c>
      <c r="H177" s="4"/>
      <c r="I177" s="46"/>
    </row>
    <row r="178" spans="1:9" s="20" customFormat="1" ht="31.5" hidden="1">
      <c r="A178" s="18" t="s">
        <v>246</v>
      </c>
      <c r="B178" s="4" t="s">
        <v>323</v>
      </c>
      <c r="C178" s="4"/>
      <c r="D178" s="5"/>
      <c r="E178" s="4" t="s">
        <v>28</v>
      </c>
      <c r="F178" s="19">
        <v>2250578</v>
      </c>
      <c r="G178" s="19">
        <f t="shared" si="6"/>
        <v>2250578</v>
      </c>
      <c r="H178" s="4"/>
      <c r="I178" s="46"/>
    </row>
    <row r="179" spans="1:9" s="20" customFormat="1" ht="39.75" customHeight="1" hidden="1">
      <c r="A179" s="221" t="s">
        <v>294</v>
      </c>
      <c r="B179" s="219" t="s">
        <v>309</v>
      </c>
      <c r="C179" s="4" t="s">
        <v>107</v>
      </c>
      <c r="D179" s="17">
        <v>5627420</v>
      </c>
      <c r="E179" s="4" t="s">
        <v>107</v>
      </c>
      <c r="F179" s="12">
        <v>1287772</v>
      </c>
      <c r="G179" s="19">
        <f>D179+F179</f>
        <v>6915192</v>
      </c>
      <c r="H179" s="4"/>
      <c r="I179" s="46"/>
    </row>
    <row r="180" spans="1:9" s="20" customFormat="1" ht="45.75" customHeight="1" hidden="1">
      <c r="A180" s="222"/>
      <c r="B180" s="220"/>
      <c r="C180" s="4" t="s">
        <v>20</v>
      </c>
      <c r="D180" s="17">
        <v>655808</v>
      </c>
      <c r="E180" s="4"/>
      <c r="F180" s="12"/>
      <c r="G180" s="19">
        <f>D180+F180</f>
        <v>655808</v>
      </c>
      <c r="H180" s="4"/>
      <c r="I180" s="46"/>
    </row>
    <row r="181" spans="1:9" s="20" customFormat="1" ht="38.25" hidden="1">
      <c r="A181" s="18" t="s">
        <v>256</v>
      </c>
      <c r="B181" s="29" t="s">
        <v>455</v>
      </c>
      <c r="C181" s="4"/>
      <c r="D181" s="5"/>
      <c r="E181" s="4" t="s">
        <v>463</v>
      </c>
      <c r="F181" s="12">
        <v>0</v>
      </c>
      <c r="G181" s="9">
        <v>0</v>
      </c>
      <c r="H181" s="4"/>
      <c r="I181" s="46"/>
    </row>
    <row r="182" spans="1:9" s="20" customFormat="1" ht="70.5" customHeight="1" hidden="1">
      <c r="A182" s="22" t="s">
        <v>477</v>
      </c>
      <c r="B182" s="23" t="s">
        <v>476</v>
      </c>
      <c r="C182" s="23"/>
      <c r="D182" s="24">
        <v>0</v>
      </c>
      <c r="E182" s="23"/>
      <c r="F182" s="30"/>
      <c r="G182" s="27">
        <v>0</v>
      </c>
      <c r="H182" s="4"/>
      <c r="I182" s="46"/>
    </row>
    <row r="183" spans="1:9" s="20" customFormat="1" ht="36" customHeight="1" hidden="1">
      <c r="A183" s="18" t="s">
        <v>303</v>
      </c>
      <c r="B183" s="4" t="s">
        <v>310</v>
      </c>
      <c r="C183" s="4" t="s">
        <v>335</v>
      </c>
      <c r="D183" s="17">
        <v>0</v>
      </c>
      <c r="E183" s="4"/>
      <c r="F183" s="12"/>
      <c r="G183" s="9">
        <v>0</v>
      </c>
      <c r="H183" s="4"/>
      <c r="I183" s="46"/>
    </row>
    <row r="184" spans="1:9" s="20" customFormat="1" ht="47.25" customHeight="1" hidden="1">
      <c r="A184" s="18" t="s">
        <v>311</v>
      </c>
      <c r="B184" s="4" t="s">
        <v>333</v>
      </c>
      <c r="C184" s="4" t="s">
        <v>453</v>
      </c>
      <c r="D184" s="17">
        <v>0</v>
      </c>
      <c r="E184" s="4"/>
      <c r="F184" s="12"/>
      <c r="G184" s="9">
        <v>0</v>
      </c>
      <c r="H184" s="4"/>
      <c r="I184" s="46"/>
    </row>
    <row r="185" spans="1:9" s="20" customFormat="1" ht="47.25" hidden="1">
      <c r="A185" s="22" t="s">
        <v>397</v>
      </c>
      <c r="B185" s="23" t="s">
        <v>270</v>
      </c>
      <c r="C185" s="4"/>
      <c r="D185" s="24">
        <f>D187</f>
        <v>40159</v>
      </c>
      <c r="E185" s="5"/>
      <c r="F185" s="24">
        <f>F186</f>
        <v>61915</v>
      </c>
      <c r="G185" s="28">
        <f aca="true" t="shared" si="7" ref="G185:G192">D185+F185</f>
        <v>102074</v>
      </c>
      <c r="H185" s="71"/>
      <c r="I185" s="46"/>
    </row>
    <row r="186" spans="1:9" s="20" customFormat="1" ht="48" customHeight="1" hidden="1">
      <c r="A186" s="18" t="s">
        <v>416</v>
      </c>
      <c r="B186" s="4" t="s">
        <v>417</v>
      </c>
      <c r="C186" s="4"/>
      <c r="D186" s="17"/>
      <c r="E186" s="4" t="s">
        <v>76</v>
      </c>
      <c r="F186" s="19">
        <v>61915</v>
      </c>
      <c r="G186" s="19">
        <f t="shared" si="7"/>
        <v>61915</v>
      </c>
      <c r="H186" s="4"/>
      <c r="I186" s="46"/>
    </row>
    <row r="187" spans="1:9" s="20" customFormat="1" ht="63" hidden="1">
      <c r="A187" s="18" t="s">
        <v>294</v>
      </c>
      <c r="B187" s="4" t="s">
        <v>309</v>
      </c>
      <c r="C187" s="4" t="s">
        <v>46</v>
      </c>
      <c r="D187" s="17">
        <v>40159</v>
      </c>
      <c r="E187" s="4"/>
      <c r="F187" s="9"/>
      <c r="G187" s="19">
        <f t="shared" si="7"/>
        <v>40159</v>
      </c>
      <c r="H187" s="4"/>
      <c r="I187" s="46"/>
    </row>
    <row r="188" spans="1:9" s="20" customFormat="1" ht="47.25" hidden="1">
      <c r="A188" s="22" t="s">
        <v>401</v>
      </c>
      <c r="B188" s="23" t="s">
        <v>272</v>
      </c>
      <c r="C188" s="4"/>
      <c r="D188" s="24">
        <f>D189+D191+D192+D193+D190</f>
        <v>2934703</v>
      </c>
      <c r="E188" s="5"/>
      <c r="F188" s="28">
        <f>F189+F193+F191+F190</f>
        <v>1664951</v>
      </c>
      <c r="G188" s="28">
        <f>D188+F188</f>
        <v>4599654</v>
      </c>
      <c r="H188" s="4"/>
      <c r="I188" s="46"/>
    </row>
    <row r="189" spans="1:9" s="20" customFormat="1" ht="53.25" customHeight="1" hidden="1">
      <c r="A189" s="18" t="s">
        <v>416</v>
      </c>
      <c r="B189" s="4" t="s">
        <v>417</v>
      </c>
      <c r="C189" s="4"/>
      <c r="D189" s="17"/>
      <c r="E189" s="4" t="s">
        <v>76</v>
      </c>
      <c r="F189" s="19">
        <v>14000</v>
      </c>
      <c r="G189" s="19">
        <f t="shared" si="7"/>
        <v>14000</v>
      </c>
      <c r="H189" s="4"/>
      <c r="I189" s="46"/>
    </row>
    <row r="190" spans="1:9" s="20" customFormat="1" ht="63" customHeight="1" hidden="1">
      <c r="A190" s="18" t="s">
        <v>70</v>
      </c>
      <c r="B190" s="4" t="s">
        <v>75</v>
      </c>
      <c r="C190" s="4" t="s">
        <v>212</v>
      </c>
      <c r="D190" s="17">
        <v>24055</v>
      </c>
      <c r="E190" s="4" t="s">
        <v>212</v>
      </c>
      <c r="F190" s="9">
        <v>1550464</v>
      </c>
      <c r="G190" s="19">
        <f>D190+F190</f>
        <v>1574519</v>
      </c>
      <c r="H190" s="4"/>
      <c r="I190" s="46"/>
    </row>
    <row r="191" spans="1:9" s="20" customFormat="1" ht="47.25" hidden="1">
      <c r="A191" s="215">
        <v>250404</v>
      </c>
      <c r="B191" s="215" t="s">
        <v>309</v>
      </c>
      <c r="C191" s="4"/>
      <c r="D191" s="21"/>
      <c r="E191" s="4" t="s">
        <v>218</v>
      </c>
      <c r="F191" s="12">
        <v>100487</v>
      </c>
      <c r="G191" s="19">
        <f t="shared" si="7"/>
        <v>100487</v>
      </c>
      <c r="H191" s="4"/>
      <c r="I191" s="46"/>
    </row>
    <row r="192" spans="1:9" s="20" customFormat="1" ht="51" customHeight="1" hidden="1">
      <c r="A192" s="215"/>
      <c r="B192" s="215"/>
      <c r="C192" s="4" t="s">
        <v>211</v>
      </c>
      <c r="D192" s="21">
        <v>2910648</v>
      </c>
      <c r="E192" s="4"/>
      <c r="F192" s="31"/>
      <c r="G192" s="19">
        <f t="shared" si="7"/>
        <v>2910648</v>
      </c>
      <c r="H192" s="4"/>
      <c r="I192" s="46"/>
    </row>
    <row r="193" spans="1:9" s="20" customFormat="1" ht="66" customHeight="1" hidden="1">
      <c r="A193" s="282"/>
      <c r="B193" s="215"/>
      <c r="D193" s="21"/>
      <c r="E193" s="4"/>
      <c r="F193" s="9"/>
      <c r="G193" s="19">
        <f>D193+F193</f>
        <v>0</v>
      </c>
      <c r="H193" s="4"/>
      <c r="I193" s="46"/>
    </row>
    <row r="194" spans="1:9" s="20" customFormat="1" ht="31.5" hidden="1">
      <c r="A194" s="22">
        <v>50</v>
      </c>
      <c r="B194" s="23" t="s">
        <v>437</v>
      </c>
      <c r="C194" s="4"/>
      <c r="D194" s="24">
        <v>0</v>
      </c>
      <c r="E194" s="5"/>
      <c r="F194" s="27">
        <v>0</v>
      </c>
      <c r="G194" s="27">
        <v>0</v>
      </c>
      <c r="H194" s="4"/>
      <c r="I194" s="46"/>
    </row>
    <row r="195" spans="1:9" s="20" customFormat="1" ht="48.75" customHeight="1" hidden="1">
      <c r="A195" s="18" t="s">
        <v>416</v>
      </c>
      <c r="B195" s="4" t="s">
        <v>417</v>
      </c>
      <c r="C195" s="4" t="s">
        <v>429</v>
      </c>
      <c r="D195" s="21"/>
      <c r="E195" s="4"/>
      <c r="F195" s="9"/>
      <c r="G195" s="9">
        <v>0</v>
      </c>
      <c r="H195" s="4"/>
      <c r="I195" s="46"/>
    </row>
    <row r="196" spans="1:9" s="20" customFormat="1" ht="47.25" hidden="1">
      <c r="A196" s="22" t="s">
        <v>405</v>
      </c>
      <c r="B196" s="23" t="s">
        <v>276</v>
      </c>
      <c r="C196" s="23"/>
      <c r="D196" s="24">
        <v>0</v>
      </c>
      <c r="E196" s="32"/>
      <c r="F196" s="24">
        <f>F197+F198</f>
        <v>41720</v>
      </c>
      <c r="G196" s="24">
        <f aca="true" t="shared" si="8" ref="G196:G203">D196+F196</f>
        <v>41720</v>
      </c>
      <c r="H196" s="71"/>
      <c r="I196" s="46"/>
    </row>
    <row r="197" spans="1:9" s="20" customFormat="1" ht="31.5" hidden="1">
      <c r="A197" s="18" t="s">
        <v>416</v>
      </c>
      <c r="B197" s="4" t="s">
        <v>417</v>
      </c>
      <c r="C197" s="4"/>
      <c r="D197" s="17"/>
      <c r="E197" s="4" t="s">
        <v>76</v>
      </c>
      <c r="F197" s="17">
        <v>41720</v>
      </c>
      <c r="G197" s="17">
        <f t="shared" si="8"/>
        <v>41720</v>
      </c>
      <c r="H197" s="4"/>
      <c r="I197" s="46"/>
    </row>
    <row r="198" spans="1:9" s="20" customFormat="1" ht="47.25" hidden="1">
      <c r="A198" s="18" t="s">
        <v>258</v>
      </c>
      <c r="B198" s="4" t="s">
        <v>259</v>
      </c>
      <c r="C198" s="4"/>
      <c r="D198" s="17"/>
      <c r="E198" s="70" t="s">
        <v>557</v>
      </c>
      <c r="F198" s="19">
        <v>0</v>
      </c>
      <c r="G198" s="17">
        <f t="shared" si="8"/>
        <v>0</v>
      </c>
      <c r="H198" s="4"/>
      <c r="I198" s="46"/>
    </row>
    <row r="199" spans="1:9" s="20" customFormat="1" ht="53.25" customHeight="1" hidden="1">
      <c r="A199" s="22" t="s">
        <v>402</v>
      </c>
      <c r="B199" s="23" t="s">
        <v>273</v>
      </c>
      <c r="C199" s="4"/>
      <c r="D199" s="24">
        <f>D203+D200+D201</f>
        <v>0</v>
      </c>
      <c r="E199" s="5"/>
      <c r="F199" s="24">
        <f>F201+F202+F200</f>
        <v>14491369</v>
      </c>
      <c r="G199" s="24">
        <f t="shared" si="8"/>
        <v>14491369</v>
      </c>
      <c r="H199" s="71"/>
      <c r="I199" s="46"/>
    </row>
    <row r="200" spans="1:9" s="20" customFormat="1" ht="33" customHeight="1" hidden="1">
      <c r="A200" s="18" t="s">
        <v>416</v>
      </c>
      <c r="B200" s="4" t="s">
        <v>417</v>
      </c>
      <c r="C200" s="4"/>
      <c r="D200" s="17"/>
      <c r="E200" s="4" t="s">
        <v>76</v>
      </c>
      <c r="F200" s="19">
        <v>21000</v>
      </c>
      <c r="G200" s="17">
        <f>D200+F200</f>
        <v>21000</v>
      </c>
      <c r="H200" s="4"/>
      <c r="I200" s="46"/>
    </row>
    <row r="201" spans="1:9" s="20" customFormat="1" ht="32.25" customHeight="1" hidden="1">
      <c r="A201" s="4">
        <v>240601</v>
      </c>
      <c r="B201" s="4" t="s">
        <v>323</v>
      </c>
      <c r="C201" s="4"/>
      <c r="D201" s="5"/>
      <c r="E201" s="4" t="s">
        <v>28</v>
      </c>
      <c r="F201" s="19">
        <v>14470369</v>
      </c>
      <c r="G201" s="17">
        <f t="shared" si="8"/>
        <v>14470369</v>
      </c>
      <c r="H201" s="4"/>
      <c r="I201" s="46"/>
    </row>
    <row r="202" spans="1:9" s="20" customFormat="1" ht="72" customHeight="1" hidden="1">
      <c r="A202" s="4">
        <v>240900</v>
      </c>
      <c r="B202" s="4" t="s">
        <v>475</v>
      </c>
      <c r="C202" s="4"/>
      <c r="D202" s="5"/>
      <c r="E202" s="70" t="s">
        <v>35</v>
      </c>
      <c r="F202" s="19">
        <v>0</v>
      </c>
      <c r="G202" s="17">
        <f t="shared" si="8"/>
        <v>0</v>
      </c>
      <c r="H202" s="4"/>
      <c r="I202" s="46"/>
    </row>
    <row r="203" spans="1:9" s="20" customFormat="1" ht="54" customHeight="1" hidden="1">
      <c r="A203" s="4">
        <v>250404</v>
      </c>
      <c r="B203" s="4" t="s">
        <v>464</v>
      </c>
      <c r="C203" s="4" t="s">
        <v>564</v>
      </c>
      <c r="D203" s="17">
        <v>0</v>
      </c>
      <c r="E203" s="4"/>
      <c r="F203" s="19"/>
      <c r="G203" s="17">
        <f t="shared" si="8"/>
        <v>0</v>
      </c>
      <c r="H203" s="4"/>
      <c r="I203" s="46"/>
    </row>
    <row r="204" spans="1:9" s="20" customFormat="1" ht="47.25" hidden="1">
      <c r="A204" s="22" t="s">
        <v>400</v>
      </c>
      <c r="B204" s="23" t="s">
        <v>274</v>
      </c>
      <c r="C204" s="4"/>
      <c r="D204" s="24">
        <f>D206+D207+D213+D215+D214</f>
        <v>14847723</v>
      </c>
      <c r="E204" s="5"/>
      <c r="F204" s="24">
        <f>F205+F206+F208+F209+F210+F211+F213</f>
        <v>3804223</v>
      </c>
      <c r="G204" s="24">
        <f>D204+F204</f>
        <v>18651946</v>
      </c>
      <c r="H204" s="71"/>
      <c r="I204" s="46"/>
    </row>
    <row r="205" spans="1:9" s="20" customFormat="1" ht="48" customHeight="1" hidden="1">
      <c r="A205" s="18" t="s">
        <v>416</v>
      </c>
      <c r="B205" s="4" t="s">
        <v>417</v>
      </c>
      <c r="C205" s="4"/>
      <c r="D205" s="17"/>
      <c r="E205" s="4" t="s">
        <v>76</v>
      </c>
      <c r="F205" s="9">
        <v>7000</v>
      </c>
      <c r="G205" s="17">
        <f>D205+F205</f>
        <v>7000</v>
      </c>
      <c r="H205" s="4"/>
      <c r="I205" s="46"/>
    </row>
    <row r="206" spans="1:9" s="20" customFormat="1" ht="84.75" customHeight="1" hidden="1">
      <c r="A206" s="18" t="s">
        <v>248</v>
      </c>
      <c r="B206" s="4" t="s">
        <v>249</v>
      </c>
      <c r="C206" s="4" t="s">
        <v>68</v>
      </c>
      <c r="D206" s="17">
        <v>2300000</v>
      </c>
      <c r="E206" s="4" t="s">
        <v>68</v>
      </c>
      <c r="F206" s="19">
        <v>296214</v>
      </c>
      <c r="G206" s="17">
        <f>D206+F206</f>
        <v>2596214</v>
      </c>
      <c r="H206" s="4"/>
      <c r="I206" s="46"/>
    </row>
    <row r="207" spans="1:9" s="20" customFormat="1" ht="72.75" customHeight="1" hidden="1">
      <c r="A207" s="18" t="s">
        <v>299</v>
      </c>
      <c r="B207" s="4" t="s">
        <v>300</v>
      </c>
      <c r="C207" s="4" t="s">
        <v>84</v>
      </c>
      <c r="D207" s="17">
        <v>10000000</v>
      </c>
      <c r="E207" s="4"/>
      <c r="F207" s="9"/>
      <c r="G207" s="17">
        <f>D207+F207</f>
        <v>10000000</v>
      </c>
      <c r="H207" s="4"/>
      <c r="I207" s="46"/>
    </row>
    <row r="208" spans="1:9" s="20" customFormat="1" ht="78.75" hidden="1">
      <c r="A208" s="221" t="s">
        <v>301</v>
      </c>
      <c r="B208" s="219" t="s">
        <v>302</v>
      </c>
      <c r="C208" s="4"/>
      <c r="D208" s="17"/>
      <c r="E208" s="4" t="s">
        <v>84</v>
      </c>
      <c r="F208" s="19">
        <v>1355142</v>
      </c>
      <c r="G208" s="17">
        <f aca="true" t="shared" si="9" ref="G208:G215">D208+F208</f>
        <v>1355142</v>
      </c>
      <c r="H208" s="4"/>
      <c r="I208" s="46"/>
    </row>
    <row r="209" spans="1:9" s="20" customFormat="1" ht="47.25" hidden="1">
      <c r="A209" s="222"/>
      <c r="B209" s="220"/>
      <c r="C209" s="4"/>
      <c r="D209" s="17"/>
      <c r="E209" s="4" t="s">
        <v>38</v>
      </c>
      <c r="F209" s="19">
        <v>25880</v>
      </c>
      <c r="G209" s="17">
        <f t="shared" si="9"/>
        <v>25880</v>
      </c>
      <c r="H209" s="4"/>
      <c r="I209" s="46"/>
    </row>
    <row r="210" spans="1:9" s="20" customFormat="1" ht="62.25" customHeight="1" hidden="1">
      <c r="A210" s="217" t="s">
        <v>315</v>
      </c>
      <c r="B210" s="216" t="s">
        <v>478</v>
      </c>
      <c r="C210" s="216"/>
      <c r="D210" s="17"/>
      <c r="E210" s="4" t="s">
        <v>84</v>
      </c>
      <c r="F210" s="19">
        <v>66000</v>
      </c>
      <c r="G210" s="17">
        <f t="shared" si="9"/>
        <v>66000</v>
      </c>
      <c r="H210" s="4"/>
      <c r="I210" s="46"/>
    </row>
    <row r="211" spans="1:9" s="20" customFormat="1" ht="63" hidden="1">
      <c r="A211" s="217"/>
      <c r="B211" s="216"/>
      <c r="C211" s="216"/>
      <c r="D211" s="283"/>
      <c r="E211" s="4" t="s">
        <v>85</v>
      </c>
      <c r="F211" s="19">
        <v>1573041</v>
      </c>
      <c r="G211" s="17">
        <f t="shared" si="9"/>
        <v>1573041</v>
      </c>
      <c r="H211" s="4"/>
      <c r="I211" s="46"/>
    </row>
    <row r="212" spans="1:9" s="20" customFormat="1" ht="47.25" hidden="1">
      <c r="A212" s="217"/>
      <c r="B212" s="216"/>
      <c r="C212" s="216"/>
      <c r="D212" s="283"/>
      <c r="E212" s="4" t="s">
        <v>560</v>
      </c>
      <c r="F212" s="9">
        <v>0</v>
      </c>
      <c r="G212" s="17">
        <f t="shared" si="9"/>
        <v>0</v>
      </c>
      <c r="H212" s="4"/>
      <c r="I212" s="46"/>
    </row>
    <row r="213" spans="1:9" s="20" customFormat="1" ht="69" customHeight="1" hidden="1">
      <c r="A213" s="18" t="s">
        <v>468</v>
      </c>
      <c r="B213" s="4" t="s">
        <v>469</v>
      </c>
      <c r="C213" s="4" t="s">
        <v>84</v>
      </c>
      <c r="D213" s="17">
        <v>122723</v>
      </c>
      <c r="E213" s="4" t="s">
        <v>85</v>
      </c>
      <c r="F213" s="19">
        <v>480946</v>
      </c>
      <c r="G213" s="17">
        <f t="shared" si="9"/>
        <v>603669</v>
      </c>
      <c r="H213" s="4"/>
      <c r="I213" s="46"/>
    </row>
    <row r="214" spans="1:9" s="20" customFormat="1" ht="63" hidden="1">
      <c r="A214" s="217" t="s">
        <v>294</v>
      </c>
      <c r="B214" s="216" t="s">
        <v>309</v>
      </c>
      <c r="C214" s="4" t="s">
        <v>85</v>
      </c>
      <c r="D214" s="17">
        <v>2425000</v>
      </c>
      <c r="E214" s="4"/>
      <c r="F214" s="9"/>
      <c r="G214" s="17">
        <f t="shared" si="9"/>
        <v>2425000</v>
      </c>
      <c r="H214" s="4"/>
      <c r="I214" s="46"/>
    </row>
    <row r="215" spans="1:9" s="20" customFormat="1" ht="63" hidden="1">
      <c r="A215" s="217"/>
      <c r="B215" s="216"/>
      <c r="C215" s="4" t="s">
        <v>562</v>
      </c>
      <c r="D215" s="17">
        <v>0</v>
      </c>
      <c r="E215" s="4" t="s">
        <v>562</v>
      </c>
      <c r="F215" s="19">
        <v>0</v>
      </c>
      <c r="G215" s="17">
        <f t="shared" si="9"/>
        <v>0</v>
      </c>
      <c r="H215" s="4"/>
      <c r="I215" s="46"/>
    </row>
    <row r="216" spans="1:9" s="20" customFormat="1" ht="78.75" customHeight="1">
      <c r="A216" s="22" t="s">
        <v>395</v>
      </c>
      <c r="B216" s="23" t="s">
        <v>269</v>
      </c>
      <c r="C216" s="4"/>
      <c r="D216" s="24">
        <f>D218+D219+D220</f>
        <v>6262527</v>
      </c>
      <c r="E216" s="5"/>
      <c r="F216" s="28">
        <f>F218+F219+F217</f>
        <v>6501142</v>
      </c>
      <c r="G216" s="28">
        <f>D216+F216</f>
        <v>12763669</v>
      </c>
      <c r="H216" s="71"/>
      <c r="I216" s="46"/>
    </row>
    <row r="217" spans="1:9" s="20" customFormat="1" ht="42" customHeight="1" hidden="1">
      <c r="A217" s="18" t="s">
        <v>416</v>
      </c>
      <c r="B217" s="4" t="s">
        <v>417</v>
      </c>
      <c r="C217" s="4"/>
      <c r="D217" s="17"/>
      <c r="E217" s="4" t="s">
        <v>76</v>
      </c>
      <c r="F217" s="12">
        <v>7000</v>
      </c>
      <c r="G217" s="19">
        <f aca="true" t="shared" si="10" ref="G217:G233">D217+F217</f>
        <v>7000</v>
      </c>
      <c r="H217" s="4"/>
      <c r="I217" s="46"/>
    </row>
    <row r="218" spans="1:9" s="20" customFormat="1" ht="69.75" customHeight="1">
      <c r="A218" s="18" t="s">
        <v>305</v>
      </c>
      <c r="B218" s="4" t="s">
        <v>306</v>
      </c>
      <c r="C218" s="4" t="s">
        <v>86</v>
      </c>
      <c r="D218" s="17">
        <v>3201442</v>
      </c>
      <c r="E218" s="4" t="s">
        <v>86</v>
      </c>
      <c r="F218" s="12">
        <v>6203691</v>
      </c>
      <c r="G218" s="19">
        <f>D218+F218</f>
        <v>9405133</v>
      </c>
      <c r="H218" s="71">
        <v>82552</v>
      </c>
      <c r="I218" s="46"/>
    </row>
    <row r="219" spans="1:9" s="20" customFormat="1" ht="63">
      <c r="A219" s="217" t="s">
        <v>307</v>
      </c>
      <c r="B219" s="216" t="s">
        <v>308</v>
      </c>
      <c r="C219" s="4" t="s">
        <v>86</v>
      </c>
      <c r="D219" s="17">
        <v>3059895</v>
      </c>
      <c r="E219" s="4" t="s">
        <v>86</v>
      </c>
      <c r="F219" s="12">
        <v>290451</v>
      </c>
      <c r="G219" s="19">
        <f>D219+F219</f>
        <v>3350346</v>
      </c>
      <c r="H219" s="71">
        <v>64182</v>
      </c>
      <c r="I219" s="46"/>
    </row>
    <row r="220" spans="1:9" s="20" customFormat="1" ht="68.25" customHeight="1" hidden="1">
      <c r="A220" s="217"/>
      <c r="B220" s="216"/>
      <c r="C220" s="4" t="s">
        <v>46</v>
      </c>
      <c r="D220" s="17">
        <v>1190</v>
      </c>
      <c r="E220" s="4"/>
      <c r="F220" s="12"/>
      <c r="G220" s="19">
        <f t="shared" si="10"/>
        <v>1190</v>
      </c>
      <c r="H220" s="4"/>
      <c r="I220" s="46"/>
    </row>
    <row r="221" spans="1:9" s="20" customFormat="1" ht="47.25" hidden="1">
      <c r="A221" s="22" t="s">
        <v>404</v>
      </c>
      <c r="B221" s="23" t="s">
        <v>275</v>
      </c>
      <c r="C221" s="4"/>
      <c r="D221" s="24">
        <f>D226</f>
        <v>0</v>
      </c>
      <c r="E221" s="5"/>
      <c r="F221" s="24">
        <f>F222+F223+F224</f>
        <v>7046384</v>
      </c>
      <c r="G221" s="24">
        <f>D221+F221</f>
        <v>7046384</v>
      </c>
      <c r="H221" s="71"/>
      <c r="I221" s="46"/>
    </row>
    <row r="222" spans="1:9" s="20" customFormat="1" ht="31.5" hidden="1">
      <c r="A222" s="18" t="s">
        <v>416</v>
      </c>
      <c r="B222" s="4" t="s">
        <v>417</v>
      </c>
      <c r="C222" s="4"/>
      <c r="D222" s="17"/>
      <c r="E222" s="4" t="s">
        <v>76</v>
      </c>
      <c r="F222" s="17">
        <v>35000</v>
      </c>
      <c r="G222" s="17">
        <f t="shared" si="10"/>
        <v>35000</v>
      </c>
      <c r="H222" s="4"/>
      <c r="I222" s="46"/>
    </row>
    <row r="223" spans="1:9" s="20" customFormat="1" ht="47.25" hidden="1">
      <c r="A223" s="18" t="s">
        <v>301</v>
      </c>
      <c r="B223" s="4" t="s">
        <v>302</v>
      </c>
      <c r="C223" s="4"/>
      <c r="D223" s="5"/>
      <c r="E223" s="4" t="s">
        <v>87</v>
      </c>
      <c r="F223" s="12">
        <v>3511384</v>
      </c>
      <c r="G223" s="17">
        <f t="shared" si="10"/>
        <v>3511384</v>
      </c>
      <c r="H223" s="4"/>
      <c r="I223" s="46"/>
    </row>
    <row r="224" spans="1:9" s="20" customFormat="1" ht="79.5" customHeight="1" hidden="1">
      <c r="A224" s="18" t="s">
        <v>316</v>
      </c>
      <c r="B224" s="4" t="s">
        <v>317</v>
      </c>
      <c r="C224" s="4"/>
      <c r="D224" s="5"/>
      <c r="E224" s="4" t="s">
        <v>87</v>
      </c>
      <c r="F224" s="19">
        <v>3500000</v>
      </c>
      <c r="G224" s="17">
        <f t="shared" si="10"/>
        <v>3500000</v>
      </c>
      <c r="H224" s="4"/>
      <c r="I224" s="46"/>
    </row>
    <row r="225" spans="1:9" s="20" customFormat="1" ht="78.75" hidden="1">
      <c r="A225" s="18" t="s">
        <v>305</v>
      </c>
      <c r="B225" s="4" t="s">
        <v>473</v>
      </c>
      <c r="C225" s="4"/>
      <c r="D225" s="17"/>
      <c r="E225" s="4" t="s">
        <v>527</v>
      </c>
      <c r="F225" s="19">
        <v>0</v>
      </c>
      <c r="G225" s="24">
        <f t="shared" si="10"/>
        <v>0</v>
      </c>
      <c r="H225" s="4"/>
      <c r="I225" s="46"/>
    </row>
    <row r="226" spans="1:9" s="20" customFormat="1" ht="53.25" customHeight="1" hidden="1">
      <c r="A226" s="18" t="s">
        <v>294</v>
      </c>
      <c r="B226" s="4" t="s">
        <v>309</v>
      </c>
      <c r="C226" s="4" t="s">
        <v>510</v>
      </c>
      <c r="D226" s="17">
        <v>0</v>
      </c>
      <c r="E226" s="4"/>
      <c r="F226" s="19"/>
      <c r="G226" s="17">
        <f t="shared" si="10"/>
        <v>0</v>
      </c>
      <c r="H226" s="4"/>
      <c r="I226" s="46"/>
    </row>
    <row r="227" spans="1:9" s="20" customFormat="1" ht="46.5" customHeight="1" hidden="1">
      <c r="A227" s="22" t="s">
        <v>403</v>
      </c>
      <c r="B227" s="23" t="s">
        <v>254</v>
      </c>
      <c r="C227" s="4"/>
      <c r="D227" s="24">
        <f>D229+D230+D232</f>
        <v>35602</v>
      </c>
      <c r="E227" s="5"/>
      <c r="F227" s="28">
        <f>F229</f>
        <v>70000</v>
      </c>
      <c r="G227" s="28">
        <f t="shared" si="10"/>
        <v>105602</v>
      </c>
      <c r="H227" s="4"/>
      <c r="I227" s="46"/>
    </row>
    <row r="228" spans="1:9" s="20" customFormat="1" ht="46.5" customHeight="1" hidden="1">
      <c r="A228" s="26" t="s">
        <v>416</v>
      </c>
      <c r="B228" s="4" t="s">
        <v>417</v>
      </c>
      <c r="C228" s="4" t="s">
        <v>436</v>
      </c>
      <c r="D228" s="21"/>
      <c r="E228" s="5"/>
      <c r="F228" s="19"/>
      <c r="G228" s="28">
        <f t="shared" si="10"/>
        <v>0</v>
      </c>
      <c r="H228" s="4"/>
      <c r="I228" s="46"/>
    </row>
    <row r="229" spans="1:9" s="20" customFormat="1" ht="70.5" customHeight="1" hidden="1">
      <c r="A229" s="18" t="s">
        <v>416</v>
      </c>
      <c r="B229" s="4" t="s">
        <v>417</v>
      </c>
      <c r="C229" s="4" t="s">
        <v>46</v>
      </c>
      <c r="D229" s="21">
        <v>2602</v>
      </c>
      <c r="E229" s="4" t="s">
        <v>76</v>
      </c>
      <c r="F229" s="19">
        <v>70000</v>
      </c>
      <c r="G229" s="19">
        <f>D229+F229</f>
        <v>72602</v>
      </c>
      <c r="H229" s="4"/>
      <c r="I229" s="46"/>
    </row>
    <row r="230" spans="1:9" s="20" customFormat="1" ht="15.75" hidden="1">
      <c r="A230" s="26">
        <v>230000</v>
      </c>
      <c r="B230" s="4" t="s">
        <v>445</v>
      </c>
      <c r="C230" s="216" t="s">
        <v>27</v>
      </c>
      <c r="D230" s="21">
        <v>0</v>
      </c>
      <c r="E230" s="5"/>
      <c r="F230" s="27"/>
      <c r="G230" s="19">
        <f t="shared" si="10"/>
        <v>0</v>
      </c>
      <c r="H230" s="4"/>
      <c r="I230" s="46"/>
    </row>
    <row r="231" spans="1:9" s="20" customFormat="1" ht="48" customHeight="1" hidden="1">
      <c r="A231" s="26">
        <v>210105</v>
      </c>
      <c r="B231" s="4"/>
      <c r="C231" s="216"/>
      <c r="D231" s="21">
        <v>0</v>
      </c>
      <c r="E231" s="5"/>
      <c r="F231" s="19">
        <v>0</v>
      </c>
      <c r="G231" s="19">
        <f t="shared" si="10"/>
        <v>0</v>
      </c>
      <c r="H231" s="4"/>
      <c r="I231" s="46"/>
    </row>
    <row r="232" spans="1:9" s="20" customFormat="1" ht="33" customHeight="1" hidden="1">
      <c r="A232" s="18" t="s">
        <v>294</v>
      </c>
      <c r="B232" s="4" t="s">
        <v>309</v>
      </c>
      <c r="C232" s="216"/>
      <c r="D232" s="17">
        <v>33000</v>
      </c>
      <c r="E232" s="4"/>
      <c r="F232" s="9"/>
      <c r="G232" s="19">
        <f t="shared" si="10"/>
        <v>33000</v>
      </c>
      <c r="H232" s="4"/>
      <c r="I232" s="46"/>
    </row>
    <row r="233" spans="1:9" s="20" customFormat="1" ht="47.25" hidden="1">
      <c r="A233" s="22" t="s">
        <v>444</v>
      </c>
      <c r="B233" s="23" t="s">
        <v>254</v>
      </c>
      <c r="C233" s="4"/>
      <c r="D233" s="32">
        <v>0</v>
      </c>
      <c r="E233" s="4"/>
      <c r="F233" s="24">
        <f>F235+F236</f>
        <v>0</v>
      </c>
      <c r="G233" s="24">
        <f t="shared" si="10"/>
        <v>0</v>
      </c>
      <c r="H233" s="71"/>
      <c r="I233" s="46"/>
    </row>
    <row r="234" spans="1:9" s="20" customFormat="1" ht="45" customHeight="1" hidden="1">
      <c r="A234" s="18" t="s">
        <v>318</v>
      </c>
      <c r="B234" s="4" t="s">
        <v>446</v>
      </c>
      <c r="C234" s="4"/>
      <c r="D234" s="5"/>
      <c r="E234" s="4" t="s">
        <v>454</v>
      </c>
      <c r="F234" s="12">
        <v>0</v>
      </c>
      <c r="G234" s="9">
        <v>0</v>
      </c>
      <c r="H234" s="4"/>
      <c r="I234" s="46"/>
    </row>
    <row r="235" spans="1:9" s="20" customFormat="1" ht="51.75" customHeight="1" hidden="1">
      <c r="A235" s="280">
        <v>250380</v>
      </c>
      <c r="B235" s="219" t="s">
        <v>545</v>
      </c>
      <c r="C235" s="4"/>
      <c r="D235" s="5"/>
      <c r="E235" s="4" t="s">
        <v>526</v>
      </c>
      <c r="F235" s="19">
        <v>0</v>
      </c>
      <c r="G235" s="19">
        <f>F235</f>
        <v>0</v>
      </c>
      <c r="H235" s="4"/>
      <c r="I235" s="46"/>
    </row>
    <row r="236" spans="1:9" s="20" customFormat="1" ht="51.75" customHeight="1" hidden="1">
      <c r="A236" s="281"/>
      <c r="B236" s="220"/>
      <c r="C236" s="4"/>
      <c r="D236" s="5"/>
      <c r="E236" s="4" t="s">
        <v>548</v>
      </c>
      <c r="F236" s="19">
        <v>0</v>
      </c>
      <c r="G236" s="19">
        <f>F236</f>
        <v>0</v>
      </c>
      <c r="H236" s="4"/>
      <c r="I236" s="46"/>
    </row>
    <row r="237" spans="1:9" s="20" customFormat="1" ht="47.25" hidden="1">
      <c r="A237" s="22" t="s">
        <v>385</v>
      </c>
      <c r="B237" s="23" t="s">
        <v>257</v>
      </c>
      <c r="C237" s="4"/>
      <c r="D237" s="24">
        <f>D241+D244+D245+D246+D247+D250+D251</f>
        <v>996508</v>
      </c>
      <c r="E237" s="4"/>
      <c r="F237" s="24">
        <f>F240+F243</f>
        <v>68812</v>
      </c>
      <c r="G237" s="24">
        <f>D237+F237</f>
        <v>1065320</v>
      </c>
      <c r="H237" s="71"/>
      <c r="I237" s="46"/>
    </row>
    <row r="238" spans="1:9" s="20" customFormat="1" ht="49.5" customHeight="1" hidden="1">
      <c r="A238" s="18" t="s">
        <v>416</v>
      </c>
      <c r="B238" s="4" t="s">
        <v>417</v>
      </c>
      <c r="C238" s="4" t="s">
        <v>422</v>
      </c>
      <c r="D238" s="17"/>
      <c r="E238" s="4" t="s">
        <v>422</v>
      </c>
      <c r="F238" s="19"/>
      <c r="G238" s="9">
        <v>0</v>
      </c>
      <c r="H238" s="4"/>
      <c r="I238" s="46"/>
    </row>
    <row r="239" spans="1:9" s="20" customFormat="1" ht="72" customHeight="1" hidden="1">
      <c r="A239" s="217" t="s">
        <v>416</v>
      </c>
      <c r="B239" s="216" t="s">
        <v>417</v>
      </c>
      <c r="C239" s="4" t="s">
        <v>538</v>
      </c>
      <c r="D239" s="17">
        <v>0</v>
      </c>
      <c r="E239" s="4"/>
      <c r="F239" s="19"/>
      <c r="G239" s="19">
        <v>0</v>
      </c>
      <c r="H239" s="4"/>
      <c r="I239" s="46"/>
    </row>
    <row r="240" spans="1:9" s="20" customFormat="1" ht="53.25" customHeight="1" hidden="1">
      <c r="A240" s="217"/>
      <c r="B240" s="216"/>
      <c r="C240" s="4"/>
      <c r="D240" s="17"/>
      <c r="E240" s="4" t="s">
        <v>76</v>
      </c>
      <c r="F240" s="19">
        <v>68812</v>
      </c>
      <c r="G240" s="19">
        <f>F240</f>
        <v>68812</v>
      </c>
      <c r="H240" s="4"/>
      <c r="I240" s="46"/>
    </row>
    <row r="241" spans="1:9" s="20" customFormat="1" ht="47.25" customHeight="1" hidden="1">
      <c r="A241" s="18" t="s">
        <v>311</v>
      </c>
      <c r="B241" s="4" t="s">
        <v>312</v>
      </c>
      <c r="C241" s="4" t="s">
        <v>80</v>
      </c>
      <c r="D241" s="17">
        <v>510000</v>
      </c>
      <c r="E241" s="4"/>
      <c r="F241" s="19"/>
      <c r="G241" s="19">
        <f>D241</f>
        <v>510000</v>
      </c>
      <c r="H241" s="4"/>
      <c r="I241" s="46"/>
    </row>
    <row r="242" spans="1:9" s="20" customFormat="1" ht="42.75" customHeight="1" hidden="1">
      <c r="A242" s="18" t="s">
        <v>301</v>
      </c>
      <c r="B242" s="4" t="s">
        <v>302</v>
      </c>
      <c r="C242" s="4"/>
      <c r="D242" s="17"/>
      <c r="E242" s="4" t="s">
        <v>450</v>
      </c>
      <c r="F242" s="19">
        <v>0</v>
      </c>
      <c r="G242" s="9">
        <v>0</v>
      </c>
      <c r="H242" s="4"/>
      <c r="I242" s="46"/>
    </row>
    <row r="243" spans="1:9" s="20" customFormat="1" ht="95.25" customHeight="1" hidden="1">
      <c r="A243" s="18" t="s">
        <v>288</v>
      </c>
      <c r="B243" s="4" t="s">
        <v>475</v>
      </c>
      <c r="C243" s="4"/>
      <c r="D243" s="17"/>
      <c r="E243" s="70" t="s">
        <v>536</v>
      </c>
      <c r="F243" s="19">
        <v>0</v>
      </c>
      <c r="G243" s="19">
        <f>F243</f>
        <v>0</v>
      </c>
      <c r="H243" s="4"/>
      <c r="I243" s="46"/>
    </row>
    <row r="244" spans="1:9" s="20" customFormat="1" ht="47.25" hidden="1">
      <c r="A244" s="217" t="s">
        <v>294</v>
      </c>
      <c r="B244" s="216" t="s">
        <v>309</v>
      </c>
      <c r="C244" s="4" t="s">
        <v>17</v>
      </c>
      <c r="D244" s="17">
        <v>155037</v>
      </c>
      <c r="E244" s="4"/>
      <c r="F244" s="9"/>
      <c r="G244" s="19">
        <f>D244</f>
        <v>155037</v>
      </c>
      <c r="H244" s="4"/>
      <c r="I244" s="46"/>
    </row>
    <row r="245" spans="1:9" s="20" customFormat="1" ht="47.25" hidden="1">
      <c r="A245" s="217"/>
      <c r="B245" s="216"/>
      <c r="C245" s="4" t="s">
        <v>80</v>
      </c>
      <c r="D245" s="17">
        <v>66308</v>
      </c>
      <c r="E245" s="4"/>
      <c r="F245" s="9"/>
      <c r="G245" s="19">
        <f aca="true" t="shared" si="11" ref="G245:G251">D245</f>
        <v>66308</v>
      </c>
      <c r="H245" s="4"/>
      <c r="I245" s="46"/>
    </row>
    <row r="246" spans="1:9" s="20" customFormat="1" ht="47.25" hidden="1">
      <c r="A246" s="217"/>
      <c r="B246" s="216"/>
      <c r="C246" s="4" t="s">
        <v>51</v>
      </c>
      <c r="D246" s="17">
        <v>233800</v>
      </c>
      <c r="E246" s="4"/>
      <c r="F246" s="9"/>
      <c r="G246" s="19">
        <f t="shared" si="11"/>
        <v>233800</v>
      </c>
      <c r="H246" s="4"/>
      <c r="I246" s="46"/>
    </row>
    <row r="247" spans="1:9" s="20" customFormat="1" ht="66" customHeight="1" hidden="1">
      <c r="A247" s="217"/>
      <c r="B247" s="216"/>
      <c r="C247" s="4" t="s">
        <v>18</v>
      </c>
      <c r="D247" s="17">
        <v>5100</v>
      </c>
      <c r="E247" s="4"/>
      <c r="F247" s="9"/>
      <c r="G247" s="19">
        <f t="shared" si="11"/>
        <v>5100</v>
      </c>
      <c r="H247" s="4"/>
      <c r="I247" s="46"/>
    </row>
    <row r="248" spans="1:9" s="20" customFormat="1" ht="45.75" customHeight="1" hidden="1">
      <c r="A248" s="217"/>
      <c r="B248" s="216"/>
      <c r="C248" s="4"/>
      <c r="D248" s="5"/>
      <c r="E248" s="4"/>
      <c r="F248" s="9"/>
      <c r="G248" s="19">
        <f t="shared" si="11"/>
        <v>0</v>
      </c>
      <c r="H248" s="4"/>
      <c r="I248" s="46"/>
    </row>
    <row r="249" spans="1:9" s="20" customFormat="1" ht="56.25" customHeight="1" hidden="1">
      <c r="A249" s="217"/>
      <c r="B249" s="216"/>
      <c r="C249" s="4"/>
      <c r="D249" s="5"/>
      <c r="E249" s="4"/>
      <c r="F249" s="9"/>
      <c r="G249" s="19">
        <f t="shared" si="11"/>
        <v>0</v>
      </c>
      <c r="H249" s="4"/>
      <c r="I249" s="46"/>
    </row>
    <row r="250" spans="1:9" s="20" customFormat="1" ht="47.25" hidden="1">
      <c r="A250" s="217"/>
      <c r="B250" s="216"/>
      <c r="C250" s="4" t="s">
        <v>16</v>
      </c>
      <c r="D250" s="17">
        <v>25298</v>
      </c>
      <c r="E250" s="4"/>
      <c r="F250" s="9"/>
      <c r="G250" s="19">
        <f t="shared" si="11"/>
        <v>25298</v>
      </c>
      <c r="H250" s="4"/>
      <c r="I250" s="46"/>
    </row>
    <row r="251" spans="1:9" s="20" customFormat="1" ht="63.75" customHeight="1" hidden="1">
      <c r="A251" s="217"/>
      <c r="B251" s="216"/>
      <c r="C251" s="4" t="s">
        <v>46</v>
      </c>
      <c r="D251" s="17">
        <v>965</v>
      </c>
      <c r="E251" s="4"/>
      <c r="F251" s="9"/>
      <c r="G251" s="19">
        <f t="shared" si="11"/>
        <v>965</v>
      </c>
      <c r="H251" s="4"/>
      <c r="I251" s="46"/>
    </row>
    <row r="252" spans="1:9" s="20" customFormat="1" ht="47.25">
      <c r="A252" s="22" t="s">
        <v>386</v>
      </c>
      <c r="B252" s="23" t="s">
        <v>260</v>
      </c>
      <c r="C252" s="4"/>
      <c r="D252" s="24">
        <f>D254+D258+D260+D261+D262+D263</f>
        <v>509258</v>
      </c>
      <c r="E252" s="23"/>
      <c r="F252" s="24">
        <f>F253+F254+F255+F257</f>
        <v>33765</v>
      </c>
      <c r="G252" s="24">
        <f>D252+F252</f>
        <v>543023</v>
      </c>
      <c r="H252" s="71"/>
      <c r="I252" s="46"/>
    </row>
    <row r="253" spans="1:9" s="20" customFormat="1" ht="43.5" customHeight="1" hidden="1">
      <c r="A253" s="18" t="s">
        <v>416</v>
      </c>
      <c r="B253" s="4" t="s">
        <v>417</v>
      </c>
      <c r="C253" s="4"/>
      <c r="D253" s="17"/>
      <c r="E253" s="4" t="s">
        <v>76</v>
      </c>
      <c r="F253" s="19">
        <v>27827</v>
      </c>
      <c r="G253" s="19">
        <f>F253</f>
        <v>27827</v>
      </c>
      <c r="H253" s="4"/>
      <c r="I253" s="46"/>
    </row>
    <row r="254" spans="1:9" s="20" customFormat="1" ht="50.25" customHeight="1">
      <c r="A254" s="217" t="s">
        <v>311</v>
      </c>
      <c r="B254" s="216" t="s">
        <v>312</v>
      </c>
      <c r="C254" s="4" t="s">
        <v>80</v>
      </c>
      <c r="D254" s="17">
        <v>440000</v>
      </c>
      <c r="E254" s="4" t="s">
        <v>80</v>
      </c>
      <c r="F254" s="19">
        <v>5542</v>
      </c>
      <c r="G254" s="19">
        <f>D254+F254</f>
        <v>445542</v>
      </c>
      <c r="H254" s="4">
        <v>5146</v>
      </c>
      <c r="I254" s="46"/>
    </row>
    <row r="255" spans="1:9" s="20" customFormat="1" ht="47.25" hidden="1">
      <c r="A255" s="217"/>
      <c r="B255" s="216"/>
      <c r="C255" s="4"/>
      <c r="D255" s="17"/>
      <c r="E255" s="35" t="s">
        <v>214</v>
      </c>
      <c r="F255" s="39">
        <v>396</v>
      </c>
      <c r="G255" s="39">
        <f>F255</f>
        <v>396</v>
      </c>
      <c r="H255" s="4"/>
      <c r="I255" s="46"/>
    </row>
    <row r="256" spans="1:9" s="20" customFormat="1" ht="21.75" customHeight="1" hidden="1">
      <c r="A256" s="18" t="s">
        <v>301</v>
      </c>
      <c r="B256" s="4" t="s">
        <v>302</v>
      </c>
      <c r="C256" s="4"/>
      <c r="D256" s="17"/>
      <c r="E256" s="4"/>
      <c r="F256" s="19"/>
      <c r="G256" s="19">
        <v>0</v>
      </c>
      <c r="H256" s="4"/>
      <c r="I256" s="46"/>
    </row>
    <row r="257" spans="1:9" s="20" customFormat="1" ht="99.75" customHeight="1" hidden="1">
      <c r="A257" s="18" t="s">
        <v>288</v>
      </c>
      <c r="B257" s="4" t="s">
        <v>475</v>
      </c>
      <c r="C257" s="4"/>
      <c r="D257" s="17"/>
      <c r="E257" s="70" t="s">
        <v>536</v>
      </c>
      <c r="F257" s="19">
        <v>0</v>
      </c>
      <c r="G257" s="19">
        <f>F257</f>
        <v>0</v>
      </c>
      <c r="H257" s="4"/>
      <c r="I257" s="46"/>
    </row>
    <row r="258" spans="1:9" s="20" customFormat="1" ht="47.25" hidden="1">
      <c r="A258" s="217" t="s">
        <v>294</v>
      </c>
      <c r="B258" s="216" t="s">
        <v>309</v>
      </c>
      <c r="C258" s="4" t="s">
        <v>17</v>
      </c>
      <c r="D258" s="17">
        <v>10800</v>
      </c>
      <c r="E258" s="4"/>
      <c r="F258" s="9"/>
      <c r="G258" s="19">
        <f aca="true" t="shared" si="12" ref="G258:G263">D258</f>
        <v>10800</v>
      </c>
      <c r="H258" s="4"/>
      <c r="I258" s="46"/>
    </row>
    <row r="259" spans="1:9" s="20" customFormat="1" ht="34.5" customHeight="1" hidden="1">
      <c r="A259" s="217"/>
      <c r="B259" s="216"/>
      <c r="C259" s="4"/>
      <c r="D259" s="17"/>
      <c r="E259" s="4"/>
      <c r="F259" s="9"/>
      <c r="G259" s="19">
        <f t="shared" si="12"/>
        <v>0</v>
      </c>
      <c r="H259" s="4"/>
      <c r="I259" s="46"/>
    </row>
    <row r="260" spans="1:9" s="20" customFormat="1" ht="52.5" customHeight="1" hidden="1">
      <c r="A260" s="217"/>
      <c r="B260" s="216"/>
      <c r="C260" s="4" t="s">
        <v>51</v>
      </c>
      <c r="D260" s="17">
        <v>31950</v>
      </c>
      <c r="E260" s="4"/>
      <c r="F260" s="9"/>
      <c r="G260" s="19">
        <f t="shared" si="12"/>
        <v>31950</v>
      </c>
      <c r="H260" s="4"/>
      <c r="I260" s="46"/>
    </row>
    <row r="261" spans="1:9" s="20" customFormat="1" ht="63" hidden="1">
      <c r="A261" s="217"/>
      <c r="B261" s="216"/>
      <c r="C261" s="4" t="s">
        <v>18</v>
      </c>
      <c r="D261" s="17">
        <v>5100</v>
      </c>
      <c r="E261" s="4"/>
      <c r="F261" s="9"/>
      <c r="G261" s="19">
        <f t="shared" si="12"/>
        <v>5100</v>
      </c>
      <c r="H261" s="4"/>
      <c r="I261" s="46"/>
    </row>
    <row r="262" spans="1:9" s="20" customFormat="1" ht="47.25" hidden="1">
      <c r="A262" s="217"/>
      <c r="B262" s="216"/>
      <c r="C262" s="4" t="s">
        <v>80</v>
      </c>
      <c r="D262" s="17">
        <v>0</v>
      </c>
      <c r="E262" s="4"/>
      <c r="F262" s="9"/>
      <c r="G262" s="19">
        <f t="shared" si="12"/>
        <v>0</v>
      </c>
      <c r="H262" s="4"/>
      <c r="I262" s="46"/>
    </row>
    <row r="263" spans="1:9" s="20" customFormat="1" ht="47.25" hidden="1">
      <c r="A263" s="217"/>
      <c r="B263" s="216"/>
      <c r="C263" s="4" t="s">
        <v>16</v>
      </c>
      <c r="D263" s="17">
        <v>21408</v>
      </c>
      <c r="E263" s="4"/>
      <c r="F263" s="9"/>
      <c r="G263" s="19">
        <f t="shared" si="12"/>
        <v>21408</v>
      </c>
      <c r="H263" s="4"/>
      <c r="I263" s="46"/>
    </row>
    <row r="264" spans="1:9" s="20" customFormat="1" ht="47.25">
      <c r="A264" s="22" t="s">
        <v>387</v>
      </c>
      <c r="B264" s="23" t="s">
        <v>261</v>
      </c>
      <c r="C264" s="4"/>
      <c r="D264" s="24">
        <f>D265+D266+D269+D270+D271+D272+D274+D275</f>
        <v>970596</v>
      </c>
      <c r="E264" s="23"/>
      <c r="F264" s="24">
        <f>F265+F266+F267+F268</f>
        <v>4568094</v>
      </c>
      <c r="G264" s="24">
        <f>D264+F264</f>
        <v>5538690</v>
      </c>
      <c r="H264" s="71"/>
      <c r="I264" s="46"/>
    </row>
    <row r="265" spans="1:9" s="20" customFormat="1" ht="45" customHeight="1" hidden="1">
      <c r="A265" s="18" t="s">
        <v>416</v>
      </c>
      <c r="B265" s="4" t="s">
        <v>417</v>
      </c>
      <c r="C265" s="4"/>
      <c r="D265" s="17"/>
      <c r="E265" s="4" t="s">
        <v>76</v>
      </c>
      <c r="F265" s="19">
        <v>27975</v>
      </c>
      <c r="G265" s="19">
        <f>F265</f>
        <v>27975</v>
      </c>
      <c r="H265" s="4"/>
      <c r="I265" s="46"/>
    </row>
    <row r="266" spans="1:9" s="20" customFormat="1" ht="56.25" customHeight="1">
      <c r="A266" s="18" t="s">
        <v>311</v>
      </c>
      <c r="B266" s="4" t="s">
        <v>312</v>
      </c>
      <c r="C266" s="4" t="s">
        <v>80</v>
      </c>
      <c r="D266" s="17">
        <v>710000</v>
      </c>
      <c r="E266" s="4" t="s">
        <v>80</v>
      </c>
      <c r="F266" s="19">
        <v>132173</v>
      </c>
      <c r="G266" s="19">
        <f>D266+F266</f>
        <v>842173</v>
      </c>
      <c r="H266" s="4">
        <v>132173</v>
      </c>
      <c r="I266" s="46"/>
    </row>
    <row r="267" spans="1:9" s="20" customFormat="1" ht="47.25" hidden="1">
      <c r="A267" s="18" t="s">
        <v>301</v>
      </c>
      <c r="B267" s="4" t="s">
        <v>302</v>
      </c>
      <c r="C267" s="4"/>
      <c r="D267" s="17"/>
      <c r="E267" s="4" t="s">
        <v>80</v>
      </c>
      <c r="F267" s="19">
        <v>4407946</v>
      </c>
      <c r="G267" s="19">
        <f>F267</f>
        <v>4407946</v>
      </c>
      <c r="H267" s="4"/>
      <c r="I267" s="46"/>
    </row>
    <row r="268" spans="1:9" s="20" customFormat="1" ht="99.75" customHeight="1" hidden="1">
      <c r="A268" s="18" t="s">
        <v>288</v>
      </c>
      <c r="B268" s="4" t="s">
        <v>475</v>
      </c>
      <c r="C268" s="4"/>
      <c r="D268" s="17"/>
      <c r="E268" s="70" t="s">
        <v>536</v>
      </c>
      <c r="F268" s="19">
        <v>0</v>
      </c>
      <c r="G268" s="19">
        <f>F268</f>
        <v>0</v>
      </c>
      <c r="H268" s="4"/>
      <c r="I268" s="46"/>
    </row>
    <row r="269" spans="1:9" s="20" customFormat="1" ht="47.25" hidden="1">
      <c r="A269" s="217" t="s">
        <v>294</v>
      </c>
      <c r="B269" s="216" t="s">
        <v>309</v>
      </c>
      <c r="C269" s="4" t="s">
        <v>17</v>
      </c>
      <c r="D269" s="17">
        <v>108138</v>
      </c>
      <c r="E269" s="4"/>
      <c r="F269" s="9"/>
      <c r="G269" s="19">
        <f>D269</f>
        <v>108138</v>
      </c>
      <c r="H269" s="4"/>
      <c r="I269" s="46"/>
    </row>
    <row r="270" spans="1:9" s="20" customFormat="1" ht="47.25" hidden="1">
      <c r="A270" s="217"/>
      <c r="B270" s="216"/>
      <c r="C270" s="4" t="s">
        <v>80</v>
      </c>
      <c r="D270" s="17">
        <v>66600</v>
      </c>
      <c r="E270" s="4"/>
      <c r="F270" s="9"/>
      <c r="G270" s="19">
        <f aca="true" t="shared" si="13" ref="G270:G275">D270</f>
        <v>66600</v>
      </c>
      <c r="H270" s="4"/>
      <c r="I270" s="46"/>
    </row>
    <row r="271" spans="1:9" s="20" customFormat="1" ht="47.25" hidden="1">
      <c r="A271" s="217"/>
      <c r="B271" s="216"/>
      <c r="C271" s="4" t="s">
        <v>51</v>
      </c>
      <c r="D271" s="17">
        <v>38505</v>
      </c>
      <c r="E271" s="4"/>
      <c r="F271" s="9"/>
      <c r="G271" s="19">
        <f t="shared" si="13"/>
        <v>38505</v>
      </c>
      <c r="H271" s="4"/>
      <c r="I271" s="46"/>
    </row>
    <row r="272" spans="1:9" s="20" customFormat="1" ht="63" hidden="1">
      <c r="A272" s="217"/>
      <c r="B272" s="216"/>
      <c r="C272" s="4" t="s">
        <v>18</v>
      </c>
      <c r="D272" s="17">
        <v>2756</v>
      </c>
      <c r="E272" s="4"/>
      <c r="F272" s="9"/>
      <c r="G272" s="19">
        <f t="shared" si="13"/>
        <v>2756</v>
      </c>
      <c r="H272" s="4"/>
      <c r="I272" s="46"/>
    </row>
    <row r="273" spans="1:9" s="20" customFormat="1" ht="21.75" customHeight="1" hidden="1">
      <c r="A273" s="217"/>
      <c r="B273" s="216"/>
      <c r="C273" s="4"/>
      <c r="D273" s="5"/>
      <c r="E273" s="4"/>
      <c r="F273" s="9"/>
      <c r="G273" s="19">
        <f t="shared" si="13"/>
        <v>0</v>
      </c>
      <c r="H273" s="4"/>
      <c r="I273" s="46"/>
    </row>
    <row r="274" spans="1:9" s="20" customFormat="1" ht="47.25" hidden="1">
      <c r="A274" s="217"/>
      <c r="B274" s="216"/>
      <c r="C274" s="4" t="s">
        <v>16</v>
      </c>
      <c r="D274" s="17">
        <f>18932+14100</f>
        <v>33032</v>
      </c>
      <c r="E274" s="4"/>
      <c r="F274" s="9"/>
      <c r="G274" s="19">
        <f t="shared" si="13"/>
        <v>33032</v>
      </c>
      <c r="H274" s="4"/>
      <c r="I274" s="46"/>
    </row>
    <row r="275" spans="1:9" s="20" customFormat="1" ht="66.75" customHeight="1" hidden="1">
      <c r="A275" s="217"/>
      <c r="B275" s="216"/>
      <c r="C275" s="4" t="s">
        <v>46</v>
      </c>
      <c r="D275" s="17">
        <v>11565</v>
      </c>
      <c r="E275" s="4"/>
      <c r="F275" s="9"/>
      <c r="G275" s="19">
        <f t="shared" si="13"/>
        <v>11565</v>
      </c>
      <c r="H275" s="4"/>
      <c r="I275" s="46"/>
    </row>
    <row r="276" spans="1:9" s="20" customFormat="1" ht="47.25">
      <c r="A276" s="22" t="s">
        <v>388</v>
      </c>
      <c r="B276" s="23" t="s">
        <v>262</v>
      </c>
      <c r="C276" s="4"/>
      <c r="D276" s="24">
        <f>D278+D280+D281+D282+D283+D284+D285</f>
        <v>663789</v>
      </c>
      <c r="E276" s="23"/>
      <c r="F276" s="24">
        <f>F277+F278+F279</f>
        <v>273375</v>
      </c>
      <c r="G276" s="28">
        <f>D276+F276</f>
        <v>937164</v>
      </c>
      <c r="H276" s="74"/>
      <c r="I276" s="46"/>
    </row>
    <row r="277" spans="1:9" s="20" customFormat="1" ht="31.5" hidden="1">
      <c r="A277" s="18" t="s">
        <v>416</v>
      </c>
      <c r="B277" s="4" t="s">
        <v>417</v>
      </c>
      <c r="C277" s="4"/>
      <c r="D277" s="17"/>
      <c r="E277" s="4" t="s">
        <v>76</v>
      </c>
      <c r="F277" s="19">
        <v>42375</v>
      </c>
      <c r="G277" s="19">
        <f>F277</f>
        <v>42375</v>
      </c>
      <c r="H277" s="23"/>
      <c r="I277" s="46"/>
    </row>
    <row r="278" spans="1:9" s="20" customFormat="1" ht="66" customHeight="1">
      <c r="A278" s="18" t="s">
        <v>311</v>
      </c>
      <c r="B278" s="4" t="s">
        <v>312</v>
      </c>
      <c r="C278" s="4" t="s">
        <v>80</v>
      </c>
      <c r="D278" s="17">
        <v>480000</v>
      </c>
      <c r="E278" s="4" t="s">
        <v>80</v>
      </c>
      <c r="F278" s="19">
        <v>10000</v>
      </c>
      <c r="G278" s="19">
        <f>D278+F278</f>
        <v>490000</v>
      </c>
      <c r="H278" s="4">
        <v>10000</v>
      </c>
      <c r="I278" s="46"/>
    </row>
    <row r="279" spans="1:9" s="20" customFormat="1" ht="55.5" customHeight="1" hidden="1">
      <c r="A279" s="18" t="s">
        <v>301</v>
      </c>
      <c r="B279" s="4" t="s">
        <v>302</v>
      </c>
      <c r="C279" s="4"/>
      <c r="D279" s="17"/>
      <c r="E279" s="4" t="s">
        <v>80</v>
      </c>
      <c r="F279" s="19">
        <v>221000</v>
      </c>
      <c r="G279" s="19">
        <f>F279</f>
        <v>221000</v>
      </c>
      <c r="H279" s="4"/>
      <c r="I279" s="46"/>
    </row>
    <row r="280" spans="1:9" s="20" customFormat="1" ht="47.25" hidden="1">
      <c r="A280" s="217" t="s">
        <v>294</v>
      </c>
      <c r="B280" s="216" t="s">
        <v>309</v>
      </c>
      <c r="C280" s="4" t="s">
        <v>17</v>
      </c>
      <c r="D280" s="17">
        <v>111797</v>
      </c>
      <c r="E280" s="4"/>
      <c r="F280" s="9"/>
      <c r="G280" s="19">
        <f aca="true" t="shared" si="14" ref="G280:G285">D280</f>
        <v>111797</v>
      </c>
      <c r="H280" s="4"/>
      <c r="I280" s="46"/>
    </row>
    <row r="281" spans="1:9" s="20" customFormat="1" ht="47.25" hidden="1">
      <c r="A281" s="217"/>
      <c r="B281" s="216"/>
      <c r="C281" s="4" t="s">
        <v>80</v>
      </c>
      <c r="D281" s="17">
        <v>16686</v>
      </c>
      <c r="E281" s="4"/>
      <c r="F281" s="9"/>
      <c r="G281" s="19">
        <f t="shared" si="14"/>
        <v>16686</v>
      </c>
      <c r="H281" s="4"/>
      <c r="I281" s="46"/>
    </row>
    <row r="282" spans="1:9" s="20" customFormat="1" ht="47.25" hidden="1">
      <c r="A282" s="217"/>
      <c r="B282" s="216"/>
      <c r="C282" s="4" t="s">
        <v>51</v>
      </c>
      <c r="D282" s="17">
        <v>26015</v>
      </c>
      <c r="E282" s="4"/>
      <c r="F282" s="9"/>
      <c r="G282" s="19">
        <f t="shared" si="14"/>
        <v>26015</v>
      </c>
      <c r="H282" s="4"/>
      <c r="I282" s="46"/>
    </row>
    <row r="283" spans="1:9" s="20" customFormat="1" ht="63" hidden="1">
      <c r="A283" s="217"/>
      <c r="B283" s="216"/>
      <c r="C283" s="4" t="s">
        <v>18</v>
      </c>
      <c r="D283" s="17">
        <v>4133</v>
      </c>
      <c r="E283" s="4"/>
      <c r="F283" s="9"/>
      <c r="G283" s="19">
        <f t="shared" si="14"/>
        <v>4133</v>
      </c>
      <c r="H283" s="4"/>
      <c r="I283" s="46"/>
    </row>
    <row r="284" spans="1:9" s="20" customFormat="1" ht="47.25" hidden="1">
      <c r="A284" s="217"/>
      <c r="B284" s="216"/>
      <c r="C284" s="4" t="s">
        <v>16</v>
      </c>
      <c r="D284" s="17">
        <v>23096</v>
      </c>
      <c r="E284" s="4"/>
      <c r="F284" s="9"/>
      <c r="G284" s="19">
        <f t="shared" si="14"/>
        <v>23096</v>
      </c>
      <c r="H284" s="4"/>
      <c r="I284" s="46"/>
    </row>
    <row r="285" spans="1:9" s="20" customFormat="1" ht="63.75" customHeight="1" hidden="1">
      <c r="A285" s="217"/>
      <c r="B285" s="216"/>
      <c r="C285" s="4" t="s">
        <v>46</v>
      </c>
      <c r="D285" s="17">
        <v>2062</v>
      </c>
      <c r="E285" s="4"/>
      <c r="F285" s="9"/>
      <c r="G285" s="19">
        <f t="shared" si="14"/>
        <v>2062</v>
      </c>
      <c r="H285" s="4"/>
      <c r="I285" s="46"/>
    </row>
    <row r="286" spans="1:9" s="33" customFormat="1" ht="47.25" hidden="1">
      <c r="A286" s="22" t="s">
        <v>389</v>
      </c>
      <c r="B286" s="23" t="s">
        <v>263</v>
      </c>
      <c r="C286" s="23"/>
      <c r="D286" s="24">
        <f>D288+D290+D292+D294+D296+D297+D298+D299+D300+D301</f>
        <v>1140260</v>
      </c>
      <c r="E286" s="23"/>
      <c r="F286" s="24">
        <f>F289+F293</f>
        <v>77975</v>
      </c>
      <c r="G286" s="24">
        <f>D286+F286</f>
        <v>1218235</v>
      </c>
      <c r="H286" s="74"/>
      <c r="I286" s="46"/>
    </row>
    <row r="287" spans="1:9" s="33" customFormat="1" ht="55.5" customHeight="1" hidden="1">
      <c r="A287" s="18" t="s">
        <v>416</v>
      </c>
      <c r="B287" s="4" t="s">
        <v>417</v>
      </c>
      <c r="C287" s="4" t="s">
        <v>423</v>
      </c>
      <c r="D287" s="17"/>
      <c r="E287" s="4" t="s">
        <v>423</v>
      </c>
      <c r="F287" s="19"/>
      <c r="G287" s="19">
        <v>0</v>
      </c>
      <c r="H287" s="23"/>
      <c r="I287" s="46"/>
    </row>
    <row r="288" spans="1:9" s="33" customFormat="1" ht="69" customHeight="1" hidden="1">
      <c r="A288" s="221" t="s">
        <v>416</v>
      </c>
      <c r="B288" s="219" t="s">
        <v>417</v>
      </c>
      <c r="C288" s="4" t="s">
        <v>46</v>
      </c>
      <c r="D288" s="17">
        <v>7791</v>
      </c>
      <c r="E288" s="4"/>
      <c r="F288" s="19"/>
      <c r="G288" s="19">
        <f>D288</f>
        <v>7791</v>
      </c>
      <c r="H288" s="23"/>
      <c r="I288" s="46"/>
    </row>
    <row r="289" spans="1:9" s="33" customFormat="1" ht="54.75" customHeight="1" hidden="1">
      <c r="A289" s="222"/>
      <c r="B289" s="220"/>
      <c r="C289" s="4"/>
      <c r="D289" s="17"/>
      <c r="E289" s="4" t="s">
        <v>76</v>
      </c>
      <c r="F289" s="19">
        <v>27975</v>
      </c>
      <c r="G289" s="19">
        <f>F289</f>
        <v>27975</v>
      </c>
      <c r="H289" s="23"/>
      <c r="I289" s="46"/>
    </row>
    <row r="290" spans="1:9" s="20" customFormat="1" ht="49.5" customHeight="1" hidden="1">
      <c r="A290" s="217" t="s">
        <v>311</v>
      </c>
      <c r="B290" s="216" t="s">
        <v>312</v>
      </c>
      <c r="C290" s="4" t="s">
        <v>80</v>
      </c>
      <c r="D290" s="17">
        <v>768655</v>
      </c>
      <c r="E290" s="4"/>
      <c r="F290" s="19"/>
      <c r="G290" s="19">
        <f>D290</f>
        <v>768655</v>
      </c>
      <c r="H290" s="4"/>
      <c r="I290" s="46"/>
    </row>
    <row r="291" spans="1:9" s="20" customFormat="1" ht="47.25" hidden="1">
      <c r="A291" s="217"/>
      <c r="B291" s="216"/>
      <c r="C291" s="4"/>
      <c r="D291" s="17"/>
      <c r="E291" s="35" t="s">
        <v>518</v>
      </c>
      <c r="F291" s="39">
        <v>0</v>
      </c>
      <c r="G291" s="39">
        <v>0</v>
      </c>
      <c r="H291" s="4"/>
      <c r="I291" s="46"/>
    </row>
    <row r="292" spans="1:9" s="20" customFormat="1" ht="47.25" hidden="1">
      <c r="A292" s="18" t="s">
        <v>491</v>
      </c>
      <c r="B292" s="4" t="s">
        <v>309</v>
      </c>
      <c r="C292" s="4" t="s">
        <v>513</v>
      </c>
      <c r="D292" s="17">
        <v>0</v>
      </c>
      <c r="E292" s="4"/>
      <c r="F292" s="19"/>
      <c r="G292" s="19">
        <f>D292</f>
        <v>0</v>
      </c>
      <c r="H292" s="4"/>
      <c r="I292" s="46"/>
    </row>
    <row r="293" spans="1:9" s="20" customFormat="1" ht="93.75" customHeight="1" hidden="1">
      <c r="A293" s="18" t="s">
        <v>288</v>
      </c>
      <c r="B293" s="4" t="s">
        <v>475</v>
      </c>
      <c r="C293" s="4"/>
      <c r="D293" s="17"/>
      <c r="E293" s="4" t="s">
        <v>36</v>
      </c>
      <c r="F293" s="19">
        <v>50000</v>
      </c>
      <c r="G293" s="19">
        <f>F293</f>
        <v>50000</v>
      </c>
      <c r="H293" s="4"/>
      <c r="I293" s="46"/>
    </row>
    <row r="294" spans="1:9" s="20" customFormat="1" ht="47.25" hidden="1">
      <c r="A294" s="217" t="s">
        <v>294</v>
      </c>
      <c r="B294" s="216" t="s">
        <v>309</v>
      </c>
      <c r="C294" s="4" t="s">
        <v>17</v>
      </c>
      <c r="D294" s="17">
        <v>245113</v>
      </c>
      <c r="E294" s="4"/>
      <c r="F294" s="9"/>
      <c r="G294" s="19">
        <f>D294</f>
        <v>245113</v>
      </c>
      <c r="H294" s="4"/>
      <c r="I294" s="46"/>
    </row>
    <row r="295" spans="1:9" s="20" customFormat="1" ht="21" customHeight="1" hidden="1">
      <c r="A295" s="217"/>
      <c r="B295" s="216"/>
      <c r="C295" s="4"/>
      <c r="D295" s="17"/>
      <c r="E295" s="4"/>
      <c r="F295" s="9"/>
      <c r="G295" s="19">
        <f aca="true" t="shared" si="15" ref="G295:G301">D295</f>
        <v>0</v>
      </c>
      <c r="H295" s="4"/>
      <c r="I295" s="46"/>
    </row>
    <row r="296" spans="1:9" s="20" customFormat="1" ht="15.75" hidden="1">
      <c r="A296" s="217"/>
      <c r="B296" s="216"/>
      <c r="C296" s="4"/>
      <c r="D296" s="17">
        <v>0</v>
      </c>
      <c r="E296" s="4"/>
      <c r="F296" s="9"/>
      <c r="G296" s="19">
        <f t="shared" si="15"/>
        <v>0</v>
      </c>
      <c r="H296" s="4"/>
      <c r="I296" s="46"/>
    </row>
    <row r="297" spans="1:9" s="20" customFormat="1" ht="47.25" hidden="1">
      <c r="A297" s="217"/>
      <c r="B297" s="216"/>
      <c r="C297" s="4" t="s">
        <v>51</v>
      </c>
      <c r="D297" s="17">
        <v>63468</v>
      </c>
      <c r="E297" s="4"/>
      <c r="F297" s="9"/>
      <c r="G297" s="19">
        <f t="shared" si="15"/>
        <v>63468</v>
      </c>
      <c r="H297" s="4"/>
      <c r="I297" s="46"/>
    </row>
    <row r="298" spans="1:9" s="20" customFormat="1" ht="63" hidden="1">
      <c r="A298" s="217"/>
      <c r="B298" s="216"/>
      <c r="C298" s="4" t="s">
        <v>18</v>
      </c>
      <c r="D298" s="17">
        <v>3100</v>
      </c>
      <c r="E298" s="4"/>
      <c r="F298" s="9"/>
      <c r="G298" s="19">
        <f t="shared" si="15"/>
        <v>3100</v>
      </c>
      <c r="H298" s="4"/>
      <c r="I298" s="46"/>
    </row>
    <row r="299" spans="1:9" s="20" customFormat="1" ht="47.25" hidden="1">
      <c r="A299" s="217"/>
      <c r="B299" s="216"/>
      <c r="C299" s="4" t="s">
        <v>16</v>
      </c>
      <c r="D299" s="17">
        <v>18610</v>
      </c>
      <c r="E299" s="4"/>
      <c r="F299" s="9"/>
      <c r="G299" s="19">
        <f t="shared" si="15"/>
        <v>18610</v>
      </c>
      <c r="H299" s="4"/>
      <c r="I299" s="46"/>
    </row>
    <row r="300" spans="1:9" s="20" customFormat="1" ht="47.25" hidden="1">
      <c r="A300" s="217"/>
      <c r="B300" s="216"/>
      <c r="C300" s="4" t="s">
        <v>80</v>
      </c>
      <c r="D300" s="17">
        <v>32058</v>
      </c>
      <c r="E300" s="4"/>
      <c r="F300" s="9"/>
      <c r="G300" s="19">
        <f t="shared" si="15"/>
        <v>32058</v>
      </c>
      <c r="H300" s="4"/>
      <c r="I300" s="46"/>
    </row>
    <row r="301" spans="1:9" s="20" customFormat="1" ht="65.25" customHeight="1" hidden="1">
      <c r="A301" s="217"/>
      <c r="B301" s="216"/>
      <c r="C301" s="4" t="s">
        <v>46</v>
      </c>
      <c r="D301" s="17">
        <v>1465</v>
      </c>
      <c r="E301" s="4"/>
      <c r="F301" s="9"/>
      <c r="G301" s="19">
        <f t="shared" si="15"/>
        <v>1465</v>
      </c>
      <c r="H301" s="4"/>
      <c r="I301" s="46"/>
    </row>
    <row r="302" spans="1:9" s="33" customFormat="1" ht="47.25" hidden="1">
      <c r="A302" s="22" t="s">
        <v>390</v>
      </c>
      <c r="B302" s="23" t="s">
        <v>264</v>
      </c>
      <c r="C302" s="23"/>
      <c r="D302" s="24">
        <f>D305+D307+D309+D310+D311+D312+D313</f>
        <v>828027</v>
      </c>
      <c r="E302" s="23"/>
      <c r="F302" s="24">
        <f>F303+F304+F305+F306</f>
        <v>80975</v>
      </c>
      <c r="G302" s="28">
        <f>D302+F302</f>
        <v>909002</v>
      </c>
      <c r="H302" s="74"/>
      <c r="I302" s="46"/>
    </row>
    <row r="303" spans="1:9" s="33" customFormat="1" ht="49.5" customHeight="1" hidden="1">
      <c r="A303" s="18" t="s">
        <v>416</v>
      </c>
      <c r="B303" s="4" t="s">
        <v>417</v>
      </c>
      <c r="C303" s="4"/>
      <c r="D303" s="17"/>
      <c r="E303" s="4" t="s">
        <v>76</v>
      </c>
      <c r="F303" s="19">
        <v>27975</v>
      </c>
      <c r="G303" s="19">
        <f>F303</f>
        <v>27975</v>
      </c>
      <c r="H303" s="23"/>
      <c r="I303" s="46"/>
    </row>
    <row r="304" spans="1:9" s="33" customFormat="1" ht="49.5" customHeight="1" hidden="1">
      <c r="A304" s="18" t="s">
        <v>301</v>
      </c>
      <c r="B304" s="4" t="s">
        <v>302</v>
      </c>
      <c r="C304" s="4"/>
      <c r="D304" s="17"/>
      <c r="E304" s="4" t="s">
        <v>80</v>
      </c>
      <c r="F304" s="19">
        <v>3000</v>
      </c>
      <c r="G304" s="19">
        <f>F304</f>
        <v>3000</v>
      </c>
      <c r="H304" s="23"/>
      <c r="I304" s="46"/>
    </row>
    <row r="305" spans="1:9" s="20" customFormat="1" ht="48" customHeight="1" hidden="1">
      <c r="A305" s="18" t="s">
        <v>311</v>
      </c>
      <c r="B305" s="4" t="s">
        <v>312</v>
      </c>
      <c r="C305" s="4" t="s">
        <v>80</v>
      </c>
      <c r="D305" s="17">
        <v>650000</v>
      </c>
      <c r="E305" s="4"/>
      <c r="F305" s="19"/>
      <c r="G305" s="19">
        <f>D305+F305</f>
        <v>650000</v>
      </c>
      <c r="H305" s="4"/>
      <c r="I305" s="46"/>
    </row>
    <row r="306" spans="1:9" s="20" customFormat="1" ht="93.75" customHeight="1" hidden="1">
      <c r="A306" s="18" t="s">
        <v>288</v>
      </c>
      <c r="B306" s="4" t="s">
        <v>475</v>
      </c>
      <c r="C306" s="4"/>
      <c r="D306" s="17"/>
      <c r="E306" s="4" t="s">
        <v>36</v>
      </c>
      <c r="F306" s="19">
        <v>50000</v>
      </c>
      <c r="G306" s="19">
        <f>F306</f>
        <v>50000</v>
      </c>
      <c r="H306" s="4"/>
      <c r="I306" s="46"/>
    </row>
    <row r="307" spans="1:9" s="20" customFormat="1" ht="47.25" hidden="1">
      <c r="A307" s="217" t="s">
        <v>294</v>
      </c>
      <c r="B307" s="216" t="s">
        <v>309</v>
      </c>
      <c r="C307" s="4" t="s">
        <v>17</v>
      </c>
      <c r="D307" s="17">
        <v>72092</v>
      </c>
      <c r="E307" s="4"/>
      <c r="F307" s="9"/>
      <c r="G307" s="19">
        <f aca="true" t="shared" si="16" ref="G307:G313">D307</f>
        <v>72092</v>
      </c>
      <c r="H307" s="4"/>
      <c r="I307" s="46"/>
    </row>
    <row r="308" spans="1:9" s="20" customFormat="1" ht="30.75" customHeight="1" hidden="1">
      <c r="A308" s="217"/>
      <c r="B308" s="216"/>
      <c r="C308" s="4"/>
      <c r="D308" s="17"/>
      <c r="E308" s="4"/>
      <c r="F308" s="9"/>
      <c r="G308" s="19">
        <f t="shared" si="16"/>
        <v>0</v>
      </c>
      <c r="H308" s="4"/>
      <c r="I308" s="46"/>
    </row>
    <row r="309" spans="1:9" s="20" customFormat="1" ht="47.25" hidden="1">
      <c r="A309" s="217"/>
      <c r="B309" s="216"/>
      <c r="C309" s="4" t="s">
        <v>51</v>
      </c>
      <c r="D309" s="17">
        <v>43038</v>
      </c>
      <c r="E309" s="4"/>
      <c r="F309" s="9"/>
      <c r="G309" s="19">
        <f t="shared" si="16"/>
        <v>43038</v>
      </c>
      <c r="H309" s="4"/>
      <c r="I309" s="46"/>
    </row>
    <row r="310" spans="1:9" s="20" customFormat="1" ht="63" hidden="1">
      <c r="A310" s="217"/>
      <c r="B310" s="216"/>
      <c r="C310" s="4" t="s">
        <v>18</v>
      </c>
      <c r="D310" s="17">
        <v>2067</v>
      </c>
      <c r="E310" s="4"/>
      <c r="F310" s="9"/>
      <c r="G310" s="19">
        <f t="shared" si="16"/>
        <v>2067</v>
      </c>
      <c r="H310" s="4"/>
      <c r="I310" s="46"/>
    </row>
    <row r="311" spans="1:9" s="20" customFormat="1" ht="47.25" hidden="1">
      <c r="A311" s="217"/>
      <c r="B311" s="216"/>
      <c r="C311" s="4" t="s">
        <v>16</v>
      </c>
      <c r="D311" s="17">
        <v>26781</v>
      </c>
      <c r="E311" s="4"/>
      <c r="F311" s="9"/>
      <c r="G311" s="19">
        <f t="shared" si="16"/>
        <v>26781</v>
      </c>
      <c r="H311" s="4"/>
      <c r="I311" s="46"/>
    </row>
    <row r="312" spans="1:9" s="20" customFormat="1" ht="47.25" hidden="1">
      <c r="A312" s="217"/>
      <c r="B312" s="216"/>
      <c r="C312" s="4" t="s">
        <v>80</v>
      </c>
      <c r="D312" s="17">
        <v>33132</v>
      </c>
      <c r="E312" s="4"/>
      <c r="F312" s="9"/>
      <c r="G312" s="19">
        <f t="shared" si="16"/>
        <v>33132</v>
      </c>
      <c r="H312" s="4"/>
      <c r="I312" s="46"/>
    </row>
    <row r="313" spans="1:9" s="20" customFormat="1" ht="69" customHeight="1" hidden="1">
      <c r="A313" s="217"/>
      <c r="B313" s="216"/>
      <c r="C313" s="4" t="s">
        <v>46</v>
      </c>
      <c r="D313" s="17">
        <v>917</v>
      </c>
      <c r="E313" s="4"/>
      <c r="F313" s="9"/>
      <c r="G313" s="19">
        <f t="shared" si="16"/>
        <v>917</v>
      </c>
      <c r="H313" s="4"/>
      <c r="I313" s="46"/>
    </row>
    <row r="314" spans="1:9" s="20" customFormat="1" ht="46.5" customHeight="1" hidden="1">
      <c r="A314" s="22" t="s">
        <v>391</v>
      </c>
      <c r="B314" s="23" t="s">
        <v>265</v>
      </c>
      <c r="C314" s="4"/>
      <c r="D314" s="24">
        <f>D315+D317+D318+D320+D321+D323+D324+D325</f>
        <v>745594</v>
      </c>
      <c r="E314" s="4"/>
      <c r="F314" s="24">
        <f>F316</f>
        <v>27975</v>
      </c>
      <c r="G314" s="24">
        <f>D314+F314</f>
        <v>773569</v>
      </c>
      <c r="H314" s="71"/>
      <c r="I314" s="46"/>
    </row>
    <row r="315" spans="1:9" s="20" customFormat="1" ht="67.5" customHeight="1" hidden="1">
      <c r="A315" s="217" t="s">
        <v>416</v>
      </c>
      <c r="B315" s="216" t="s">
        <v>417</v>
      </c>
      <c r="C315" s="4" t="s">
        <v>46</v>
      </c>
      <c r="D315" s="17">
        <v>339</v>
      </c>
      <c r="E315" s="4"/>
      <c r="F315" s="24"/>
      <c r="G315" s="19">
        <f>D315</f>
        <v>339</v>
      </c>
      <c r="H315" s="71"/>
      <c r="I315" s="46"/>
    </row>
    <row r="316" spans="1:9" s="20" customFormat="1" ht="64.5" customHeight="1" hidden="1">
      <c r="A316" s="217"/>
      <c r="B316" s="216"/>
      <c r="C316" s="4"/>
      <c r="D316" s="17"/>
      <c r="E316" s="4" t="s">
        <v>76</v>
      </c>
      <c r="F316" s="19">
        <v>27975</v>
      </c>
      <c r="G316" s="19">
        <f>F316</f>
        <v>27975</v>
      </c>
      <c r="H316" s="4"/>
      <c r="I316" s="46"/>
    </row>
    <row r="317" spans="1:9" s="20" customFormat="1" ht="45.75" customHeight="1" hidden="1">
      <c r="A317" s="18" t="s">
        <v>311</v>
      </c>
      <c r="B317" s="4" t="s">
        <v>312</v>
      </c>
      <c r="C317" s="4" t="s">
        <v>80</v>
      </c>
      <c r="D317" s="17">
        <v>527000</v>
      </c>
      <c r="E317" s="4"/>
      <c r="F317" s="19"/>
      <c r="G317" s="19">
        <f>D317</f>
        <v>527000</v>
      </c>
      <c r="H317" s="4"/>
      <c r="I317" s="46"/>
    </row>
    <row r="318" spans="1:9" s="20" customFormat="1" ht="47.25" hidden="1">
      <c r="A318" s="217" t="s">
        <v>294</v>
      </c>
      <c r="B318" s="216" t="s">
        <v>309</v>
      </c>
      <c r="C318" s="4" t="s">
        <v>17</v>
      </c>
      <c r="D318" s="17">
        <v>100929</v>
      </c>
      <c r="E318" s="4"/>
      <c r="F318" s="9"/>
      <c r="G318" s="19">
        <f aca="true" t="shared" si="17" ref="G318:G325">D318</f>
        <v>100929</v>
      </c>
      <c r="H318" s="4"/>
      <c r="I318" s="46"/>
    </row>
    <row r="319" spans="1:9" s="20" customFormat="1" ht="15.75" customHeight="1" hidden="1">
      <c r="A319" s="217"/>
      <c r="B319" s="216"/>
      <c r="C319" s="4"/>
      <c r="D319" s="17"/>
      <c r="E319" s="4"/>
      <c r="F319" s="19">
        <v>0</v>
      </c>
      <c r="G319" s="19">
        <f t="shared" si="17"/>
        <v>0</v>
      </c>
      <c r="H319" s="4"/>
      <c r="I319" s="46"/>
    </row>
    <row r="320" spans="1:9" s="20" customFormat="1" ht="47.25" hidden="1">
      <c r="A320" s="217"/>
      <c r="B320" s="216"/>
      <c r="C320" s="4" t="s">
        <v>51</v>
      </c>
      <c r="D320" s="17">
        <v>60000</v>
      </c>
      <c r="E320" s="4"/>
      <c r="F320" s="9"/>
      <c r="G320" s="19">
        <f t="shared" si="17"/>
        <v>60000</v>
      </c>
      <c r="H320" s="4"/>
      <c r="I320" s="46"/>
    </row>
    <row r="321" spans="1:9" s="20" customFormat="1" ht="63" hidden="1">
      <c r="A321" s="217"/>
      <c r="B321" s="216"/>
      <c r="C321" s="4" t="s">
        <v>18</v>
      </c>
      <c r="D321" s="17">
        <v>3500</v>
      </c>
      <c r="E321" s="4"/>
      <c r="F321" s="9"/>
      <c r="G321" s="19">
        <f t="shared" si="17"/>
        <v>3500</v>
      </c>
      <c r="H321" s="4"/>
      <c r="I321" s="46"/>
    </row>
    <row r="322" spans="1:9" s="20" customFormat="1" ht="24.75" customHeight="1" hidden="1">
      <c r="A322" s="217"/>
      <c r="B322" s="216"/>
      <c r="C322" s="4"/>
      <c r="D322" s="5"/>
      <c r="E322" s="4"/>
      <c r="F322" s="9"/>
      <c r="G322" s="19">
        <f t="shared" si="17"/>
        <v>0</v>
      </c>
      <c r="H322" s="4"/>
      <c r="I322" s="46"/>
    </row>
    <row r="323" spans="1:9" s="20" customFormat="1" ht="47.25" hidden="1">
      <c r="A323" s="217"/>
      <c r="B323" s="216"/>
      <c r="C323" s="4" t="s">
        <v>16</v>
      </c>
      <c r="D323" s="17">
        <v>19000</v>
      </c>
      <c r="E323" s="4"/>
      <c r="F323" s="9"/>
      <c r="G323" s="19">
        <f t="shared" si="17"/>
        <v>19000</v>
      </c>
      <c r="H323" s="4"/>
      <c r="I323" s="46"/>
    </row>
    <row r="324" spans="1:9" s="20" customFormat="1" ht="47.25" hidden="1">
      <c r="A324" s="217"/>
      <c r="B324" s="216"/>
      <c r="C324" s="4" t="s">
        <v>80</v>
      </c>
      <c r="D324" s="17">
        <v>32792</v>
      </c>
      <c r="E324" s="4"/>
      <c r="F324" s="9"/>
      <c r="G324" s="19">
        <f t="shared" si="17"/>
        <v>32792</v>
      </c>
      <c r="H324" s="4"/>
      <c r="I324" s="46"/>
    </row>
    <row r="325" spans="1:9" s="20" customFormat="1" ht="68.25" customHeight="1" hidden="1">
      <c r="A325" s="217"/>
      <c r="B325" s="216"/>
      <c r="C325" s="4" t="s">
        <v>46</v>
      </c>
      <c r="D325" s="17">
        <v>2034</v>
      </c>
      <c r="E325" s="4"/>
      <c r="F325" s="9"/>
      <c r="G325" s="19">
        <f t="shared" si="17"/>
        <v>2034</v>
      </c>
      <c r="H325" s="4"/>
      <c r="I325" s="46"/>
    </row>
    <row r="326" spans="1:11" s="34" customFormat="1" ht="15.75" hidden="1">
      <c r="A326" s="23"/>
      <c r="B326" s="23" t="s">
        <v>283</v>
      </c>
      <c r="C326" s="23"/>
      <c r="D326" s="28">
        <f>D11+D31+D73+D97+D125+D148+D153+D155+D185+D188+D196+D199+D204+D216+D221+D227+D233+D237+D252+D264+D276+D286+D302+D314</f>
        <v>220295134</v>
      </c>
      <c r="E326" s="27"/>
      <c r="F326" s="28">
        <f>F11+F31+F73+F97+F125+F148+F153+F155+F185+F188+F196+F199+F204+F216+F221+F227+F233+F237+F252+F264+F276+F286+F302+F314</f>
        <v>205915535</v>
      </c>
      <c r="G326" s="28">
        <f>D326+F326</f>
        <v>426210669</v>
      </c>
      <c r="H326" s="9"/>
      <c r="I326" s="46"/>
      <c r="K326" s="45"/>
    </row>
    <row r="327" spans="1:8" ht="15" customHeight="1" hidden="1">
      <c r="A327" s="65"/>
      <c r="B327" s="65"/>
      <c r="C327" s="65"/>
      <c r="D327" s="65"/>
      <c r="E327" s="65"/>
      <c r="F327" s="65"/>
      <c r="G327" s="65"/>
      <c r="H327" s="63"/>
    </row>
    <row r="328" spans="1:6" s="11" customFormat="1" ht="35.25" customHeight="1" hidden="1">
      <c r="A328" s="284" t="s">
        <v>451</v>
      </c>
      <c r="B328" s="284"/>
      <c r="C328" s="66"/>
      <c r="D328" s="67"/>
      <c r="E328" s="54"/>
      <c r="F328" s="57" t="s">
        <v>452</v>
      </c>
    </row>
    <row r="329" spans="4:7" ht="18" customHeight="1" hidden="1">
      <c r="D329" s="10"/>
      <c r="F329" s="34"/>
      <c r="G329" s="45"/>
    </row>
    <row r="330" spans="4:7" ht="18" customHeight="1" hidden="1">
      <c r="D330" s="10"/>
      <c r="F330" s="34"/>
      <c r="G330" s="45"/>
    </row>
    <row r="331" ht="18" customHeight="1" hidden="1"/>
    <row r="332" spans="4:9" ht="18" customHeight="1" hidden="1">
      <c r="D332" s="10"/>
      <c r="F332" s="41"/>
      <c r="G332" s="42"/>
      <c r="H332" s="41"/>
      <c r="I332" s="10"/>
    </row>
    <row r="333" spans="4:6" ht="18" customHeight="1" hidden="1">
      <c r="D333" s="10"/>
      <c r="F333" s="10"/>
    </row>
    <row r="334" spans="1:6" ht="18" customHeight="1" hidden="1">
      <c r="A334" s="1">
        <v>250404</v>
      </c>
      <c r="B334" s="1" t="s">
        <v>21</v>
      </c>
      <c r="D334" s="10">
        <f>D318+D307+D294+D280+D269+D258+D244</f>
        <v>803906</v>
      </c>
      <c r="F334" s="10"/>
    </row>
    <row r="335" spans="2:6" ht="15.75" hidden="1">
      <c r="B335" s="1" t="s">
        <v>22</v>
      </c>
      <c r="D335" s="10">
        <f>D321+D310+D298+D283+D272+D261+D247</f>
        <v>25756</v>
      </c>
      <c r="F335" s="10"/>
    </row>
    <row r="336" spans="2:6" ht="15.75" hidden="1">
      <c r="B336" s="1" t="s">
        <v>23</v>
      </c>
      <c r="C336" s="3"/>
      <c r="D336" s="10">
        <f>D323+D311+D299+D284+D274+D263+D250</f>
        <v>167225</v>
      </c>
      <c r="F336" s="10"/>
    </row>
    <row r="337" spans="2:6" ht="15.75" hidden="1">
      <c r="B337" s="1" t="s">
        <v>24</v>
      </c>
      <c r="D337" s="10">
        <f>D320+D309+D297+D282+D271+D260+D246</f>
        <v>496776</v>
      </c>
      <c r="F337" s="10"/>
    </row>
    <row r="338" spans="2:6" ht="15.75" hidden="1">
      <c r="B338" s="1" t="s">
        <v>25</v>
      </c>
      <c r="D338" s="10">
        <f>D325+D313+D301+D285+D275+D251+D315+D288+D229+D220+D187+D157+D143+D139+D137+D134+D131+D128+D109+D101++D100+D90+D79+D74+D13+D136+D33+D36+D42+D44+D50+D51+D53+D55+D56+D63+D65</f>
        <v>757108</v>
      </c>
      <c r="F338" s="10"/>
    </row>
    <row r="339" spans="2:6" ht="15.75" hidden="1">
      <c r="B339" s="1" t="s">
        <v>26</v>
      </c>
      <c r="D339" s="10">
        <f>D324+D312+D300+D281+D270+D262+D245</f>
        <v>247576</v>
      </c>
      <c r="F339" s="10"/>
    </row>
    <row r="340" ht="15.75" hidden="1">
      <c r="F340" s="10"/>
    </row>
    <row r="341" ht="15.75" hidden="1">
      <c r="F341" s="10"/>
    </row>
    <row r="342" spans="2:6" ht="15.75" hidden="1">
      <c r="B342" s="1" t="s">
        <v>29</v>
      </c>
      <c r="D342" s="10">
        <f>D151</f>
        <v>120711</v>
      </c>
      <c r="F342" s="10"/>
    </row>
    <row r="343" spans="2:6" ht="15.75" hidden="1">
      <c r="B343" s="1" t="s">
        <v>30</v>
      </c>
      <c r="D343" s="10">
        <f>D106+D180</f>
        <v>680000</v>
      </c>
      <c r="E343" s="1" t="s">
        <v>31</v>
      </c>
      <c r="F343" s="10">
        <f>F106</f>
        <v>24192</v>
      </c>
    </row>
    <row r="344" spans="2:6" ht="15.75" hidden="1">
      <c r="B344" s="1" t="s">
        <v>32</v>
      </c>
      <c r="D344" s="10">
        <f>D232</f>
        <v>33000</v>
      </c>
      <c r="F344" s="10"/>
    </row>
    <row r="345" spans="2:6" ht="15.75" hidden="1">
      <c r="B345" s="1" t="s">
        <v>34</v>
      </c>
      <c r="D345" s="10">
        <f>D26</f>
        <v>3348800</v>
      </c>
      <c r="F345" s="10"/>
    </row>
    <row r="346" spans="2:6" ht="15.75" hidden="1">
      <c r="B346" s="1" t="s">
        <v>37</v>
      </c>
      <c r="D346" s="10">
        <f>D14</f>
        <v>480000</v>
      </c>
      <c r="F346" s="10"/>
    </row>
    <row r="347" spans="2:6" ht="15.75" hidden="1">
      <c r="B347" s="1" t="s">
        <v>40</v>
      </c>
      <c r="D347" s="10">
        <f>D23</f>
        <v>304955</v>
      </c>
      <c r="F347" s="10"/>
    </row>
    <row r="348" spans="2:6" ht="15.75" hidden="1">
      <c r="B348" s="1" t="s">
        <v>41</v>
      </c>
      <c r="D348" s="10">
        <f>D24</f>
        <v>209200</v>
      </c>
      <c r="F348" s="10">
        <f>F16</f>
        <v>415760</v>
      </c>
    </row>
    <row r="349" spans="2:6" ht="15.75" hidden="1">
      <c r="B349" s="1" t="s">
        <v>42</v>
      </c>
      <c r="D349" s="10">
        <f>D206</f>
        <v>2300000</v>
      </c>
      <c r="F349" s="10"/>
    </row>
    <row r="350" spans="2:8" ht="15.75" hidden="1">
      <c r="B350" s="1" t="s">
        <v>43</v>
      </c>
      <c r="D350" s="10">
        <f>D152</f>
        <v>108000</v>
      </c>
      <c r="E350" s="7"/>
      <c r="F350" s="10"/>
      <c r="H350" s="10"/>
    </row>
    <row r="351" spans="2:6" ht="15.75" hidden="1">
      <c r="B351" s="1" t="s">
        <v>48</v>
      </c>
      <c r="D351" s="10">
        <f>D190</f>
        <v>24055</v>
      </c>
      <c r="F351" s="1">
        <f>F190</f>
        <v>1550464</v>
      </c>
    </row>
    <row r="352" spans="2:7" ht="15.75" hidden="1">
      <c r="B352" s="1" t="s">
        <v>49</v>
      </c>
      <c r="C352" s="43"/>
      <c r="D352" s="44"/>
      <c r="E352" s="43"/>
      <c r="F352" s="10">
        <f>F191</f>
        <v>100487</v>
      </c>
      <c r="G352" s="43"/>
    </row>
    <row r="353" spans="2:7" ht="15.75" hidden="1">
      <c r="B353" s="1" t="s">
        <v>50</v>
      </c>
      <c r="C353" s="43"/>
      <c r="D353" s="10">
        <f>D192</f>
        <v>2910648</v>
      </c>
      <c r="E353" s="43"/>
      <c r="F353" s="44"/>
      <c r="G353" s="43"/>
    </row>
    <row r="354" spans="2:7" ht="15.75" hidden="1">
      <c r="B354" s="1" t="s">
        <v>44</v>
      </c>
      <c r="C354" s="43"/>
      <c r="D354" s="43"/>
      <c r="E354" s="43"/>
      <c r="F354" s="10">
        <f>F306+F293+F21</f>
        <v>300000</v>
      </c>
      <c r="G354" s="44"/>
    </row>
    <row r="355" ht="15.75" hidden="1"/>
    <row r="356" ht="15.75" hidden="1"/>
    <row r="357" spans="2:6" ht="15.75" hidden="1">
      <c r="B357" s="1" t="s">
        <v>52</v>
      </c>
      <c r="D357" s="10">
        <f>D324+D317+D312+D305+D300+D290+D281+D278+D270+D266+D262+D254+D245+D241+D179+D166+D162+D159+D158</f>
        <v>102708451</v>
      </c>
      <c r="F357" s="10">
        <f>F305+F304+F279+F278+F267+F266+F254+F235+F179+F176+F174+F169+F166+F165+F162</f>
        <v>76723720</v>
      </c>
    </row>
    <row r="358" ht="15.75" hidden="1"/>
    <row r="359" spans="2:6" ht="15.75" hidden="1">
      <c r="B359" s="1" t="s">
        <v>53</v>
      </c>
      <c r="D359" s="10">
        <f>D34+D37+D43+D54</f>
        <v>11151843</v>
      </c>
      <c r="F359" s="10">
        <f>F34+F37+F54+F67</f>
        <v>15404849</v>
      </c>
    </row>
    <row r="360" spans="2:4" ht="15.75" hidden="1">
      <c r="B360" s="1" t="s">
        <v>54</v>
      </c>
      <c r="D360" s="10">
        <f>D40+D58</f>
        <v>4900252</v>
      </c>
    </row>
    <row r="361" spans="2:4" ht="15.75" hidden="1">
      <c r="B361" s="1" t="s">
        <v>55</v>
      </c>
      <c r="D361" s="10">
        <f>D46</f>
        <v>29827597</v>
      </c>
    </row>
    <row r="362" spans="2:6" ht="15.75" hidden="1">
      <c r="B362" s="1" t="s">
        <v>56</v>
      </c>
      <c r="D362" s="10">
        <f>D59+D60+D61+D66</f>
        <v>1199500</v>
      </c>
      <c r="F362" s="10">
        <f>F66+F69</f>
        <v>1108725</v>
      </c>
    </row>
    <row r="363" spans="2:6" ht="15.75" hidden="1">
      <c r="B363" s="1" t="s">
        <v>57</v>
      </c>
      <c r="D363" s="10">
        <f>D57+D71+D72</f>
        <v>2578544</v>
      </c>
      <c r="F363" s="1">
        <f>F71</f>
        <v>31358</v>
      </c>
    </row>
    <row r="364" ht="15.75" hidden="1"/>
    <row r="365" ht="15.75" hidden="1"/>
    <row r="366" spans="2:6" ht="15.75" hidden="1">
      <c r="B366" s="1" t="s">
        <v>58</v>
      </c>
      <c r="D366" s="10">
        <f>D75+D80+D83+D86+D89</f>
        <v>0</v>
      </c>
      <c r="F366" s="10">
        <f>F75+F80+F83+F86+F89+F94+F236</f>
        <v>22518298</v>
      </c>
    </row>
    <row r="367" spans="2:6" ht="15.75" hidden="1">
      <c r="B367" s="1" t="s">
        <v>59</v>
      </c>
      <c r="D367" s="10">
        <f>D127+D129+D132+D135+D141</f>
        <v>5504638</v>
      </c>
      <c r="F367" s="10">
        <f>F127+F129+F132+F135+F141+F145</f>
        <v>4137302</v>
      </c>
    </row>
    <row r="368" spans="2:4" ht="15.75" hidden="1">
      <c r="B368" s="1" t="s">
        <v>60</v>
      </c>
      <c r="D368" s="10">
        <f>D138</f>
        <v>1114809</v>
      </c>
    </row>
    <row r="369" spans="2:6" ht="15.75" hidden="1">
      <c r="B369" s="1" t="s">
        <v>61</v>
      </c>
      <c r="D369" s="1">
        <f>D140</f>
        <v>1693819</v>
      </c>
      <c r="F369" s="1">
        <f>F140</f>
        <v>42020</v>
      </c>
    </row>
    <row r="370" ht="15.75" hidden="1"/>
    <row r="371" spans="2:6" ht="15.75" hidden="1">
      <c r="B371" s="1" t="s">
        <v>62</v>
      </c>
      <c r="D371" s="10">
        <f>D105+D110+D112+D117+D119+D120+D103</f>
        <v>13778297</v>
      </c>
      <c r="F371" s="10">
        <f>F105+F115</f>
        <v>4271341</v>
      </c>
    </row>
    <row r="372" spans="2:6" ht="15.75" hidden="1">
      <c r="B372" s="1" t="s">
        <v>63</v>
      </c>
      <c r="F372" s="10">
        <f>F114</f>
        <v>0</v>
      </c>
    </row>
    <row r="373" spans="4:6" ht="15.75" hidden="1">
      <c r="D373" s="10"/>
      <c r="F373" s="10"/>
    </row>
    <row r="374" ht="15.75" hidden="1">
      <c r="F374" s="10"/>
    </row>
    <row r="376" spans="2:6" ht="15.75">
      <c r="B376" s="1" t="s">
        <v>64</v>
      </c>
      <c r="D376" s="10">
        <f>D207+D213</f>
        <v>10122723</v>
      </c>
      <c r="F376" s="10">
        <f>F210</f>
        <v>66000</v>
      </c>
    </row>
    <row r="377" spans="2:6" ht="15.75">
      <c r="B377" s="1" t="s">
        <v>65</v>
      </c>
      <c r="D377" s="10">
        <f>D214</f>
        <v>2425000</v>
      </c>
      <c r="F377" s="10">
        <f>F211+F213</f>
        <v>2053987</v>
      </c>
    </row>
    <row r="378" spans="2:6" ht="15.75">
      <c r="B378" s="1" t="s">
        <v>66</v>
      </c>
      <c r="D378" s="10">
        <f>D215</f>
        <v>0</v>
      </c>
      <c r="F378" s="10">
        <f>F215</f>
        <v>0</v>
      </c>
    </row>
    <row r="380" spans="2:6" ht="15.75">
      <c r="B380" s="1" t="s">
        <v>67</v>
      </c>
      <c r="F380" s="10">
        <f>F201+F178+F70</f>
        <v>16840000</v>
      </c>
    </row>
  </sheetData>
  <sheetProtection/>
  <mergeCells count="127">
    <mergeCell ref="A328:B328"/>
    <mergeCell ref="H8:H9"/>
    <mergeCell ref="A294:A301"/>
    <mergeCell ref="B294:B301"/>
    <mergeCell ref="A307:A313"/>
    <mergeCell ref="B307:B313"/>
    <mergeCell ref="A318:A325"/>
    <mergeCell ref="B318:B325"/>
    <mergeCell ref="B280:B285"/>
    <mergeCell ref="B244:B251"/>
    <mergeCell ref="A288:A289"/>
    <mergeCell ref="A280:A285"/>
    <mergeCell ref="B239:B240"/>
    <mergeCell ref="B235:B236"/>
    <mergeCell ref="A239:A240"/>
    <mergeCell ref="C230:C232"/>
    <mergeCell ref="A235:A236"/>
    <mergeCell ref="A219:A220"/>
    <mergeCell ref="B219:B220"/>
    <mergeCell ref="A315:A316"/>
    <mergeCell ref="B315:B316"/>
    <mergeCell ref="A290:A291"/>
    <mergeCell ref="B290:B291"/>
    <mergeCell ref="B288:B289"/>
    <mergeCell ref="A254:A255"/>
    <mergeCell ref="B254:B255"/>
    <mergeCell ref="A244:A251"/>
    <mergeCell ref="A269:A275"/>
    <mergeCell ref="B269:B275"/>
    <mergeCell ref="A258:A263"/>
    <mergeCell ref="B258:B263"/>
    <mergeCell ref="C210:C212"/>
    <mergeCell ref="D211:D212"/>
    <mergeCell ref="A214:A215"/>
    <mergeCell ref="B214:B215"/>
    <mergeCell ref="A210:A212"/>
    <mergeCell ref="B210:B212"/>
    <mergeCell ref="A208:A209"/>
    <mergeCell ref="B208:B209"/>
    <mergeCell ref="A171:A173"/>
    <mergeCell ref="B171:B173"/>
    <mergeCell ref="A176:A177"/>
    <mergeCell ref="B176:B177"/>
    <mergeCell ref="A191:A193"/>
    <mergeCell ref="B191:B193"/>
    <mergeCell ref="A179:A180"/>
    <mergeCell ref="B179:B180"/>
    <mergeCell ref="A140:A144"/>
    <mergeCell ref="B140:B144"/>
    <mergeCell ref="A169:A170"/>
    <mergeCell ref="B169:B170"/>
    <mergeCell ref="A166:A167"/>
    <mergeCell ref="B166:B167"/>
    <mergeCell ref="A159:A160"/>
    <mergeCell ref="B159:B160"/>
    <mergeCell ref="A135:A137"/>
    <mergeCell ref="B135:B137"/>
    <mergeCell ref="A138:A139"/>
    <mergeCell ref="B138:B139"/>
    <mergeCell ref="A114:A115"/>
    <mergeCell ref="B114:B115"/>
    <mergeCell ref="A132:A134"/>
    <mergeCell ref="B132:B134"/>
    <mergeCell ref="A156:A157"/>
    <mergeCell ref="B156:B157"/>
    <mergeCell ref="A161:A163"/>
    <mergeCell ref="B161:B163"/>
    <mergeCell ref="A86:A88"/>
    <mergeCell ref="B86:B88"/>
    <mergeCell ref="A129:A131"/>
    <mergeCell ref="B129:B131"/>
    <mergeCell ref="A110:A111"/>
    <mergeCell ref="B110:B111"/>
    <mergeCell ref="A112:A113"/>
    <mergeCell ref="B112:B113"/>
    <mergeCell ref="A127:A128"/>
    <mergeCell ref="B127:B128"/>
    <mergeCell ref="C71:C72"/>
    <mergeCell ref="A75:A79"/>
    <mergeCell ref="B75:B79"/>
    <mergeCell ref="A80:A82"/>
    <mergeCell ref="B80:B82"/>
    <mergeCell ref="A101:A102"/>
    <mergeCell ref="B101:B102"/>
    <mergeCell ref="B89:B90"/>
    <mergeCell ref="A95:A96"/>
    <mergeCell ref="B95:B96"/>
    <mergeCell ref="A61:A63"/>
    <mergeCell ref="B61:B63"/>
    <mergeCell ref="A54:A55"/>
    <mergeCell ref="B116:B118"/>
    <mergeCell ref="A117:A118"/>
    <mergeCell ref="A98:A100"/>
    <mergeCell ref="B98:B100"/>
    <mergeCell ref="A105:A109"/>
    <mergeCell ref="B105:B109"/>
    <mergeCell ref="A89:A90"/>
    <mergeCell ref="B83:B85"/>
    <mergeCell ref="A83:A85"/>
    <mergeCell ref="A65:A66"/>
    <mergeCell ref="B65:B66"/>
    <mergeCell ref="A67:A69"/>
    <mergeCell ref="B67:B69"/>
    <mergeCell ref="B54:B55"/>
    <mergeCell ref="A46:A50"/>
    <mergeCell ref="A34:A36"/>
    <mergeCell ref="B34:B36"/>
    <mergeCell ref="A37:A42"/>
    <mergeCell ref="B46:B50"/>
    <mergeCell ref="A52:A53"/>
    <mergeCell ref="B52:B53"/>
    <mergeCell ref="A43:A45"/>
    <mergeCell ref="B43:B45"/>
    <mergeCell ref="B37:B42"/>
    <mergeCell ref="A16:A19"/>
    <mergeCell ref="B16:B19"/>
    <mergeCell ref="A5:G5"/>
    <mergeCell ref="B8:B9"/>
    <mergeCell ref="C8:D8"/>
    <mergeCell ref="E8:F8"/>
    <mergeCell ref="A12:A13"/>
    <mergeCell ref="C16:C19"/>
    <mergeCell ref="A23:A30"/>
    <mergeCell ref="B23:B30"/>
    <mergeCell ref="B12:B13"/>
    <mergeCell ref="A14:A15"/>
    <mergeCell ref="B14:B15"/>
  </mergeCells>
  <printOptions/>
  <pageMargins left="0.3937007874015748" right="0.2362204724409449" top="0.3937007874015748" bottom="0.31496062992125984" header="0.2362204724409449" footer="0.2362204724409449"/>
  <pageSetup fitToHeight="16" horizontalDpi="600" verticalDpi="600" orientation="portrait" paperSize="9" scale="66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345"/>
  <sheetViews>
    <sheetView view="pageBreakPreview" zoomScale="75" zoomScaleSheetLayoutView="75" zoomScalePageLayoutView="0" workbookViewId="0" topLeftCell="A1">
      <selection activeCell="C14" sqref="C14"/>
    </sheetView>
  </sheetViews>
  <sheetFormatPr defaultColWidth="9.140625" defaultRowHeight="12.75"/>
  <cols>
    <col min="1" max="1" width="9.28125" style="1" customWidth="1"/>
    <col min="2" max="2" width="35.8515625" style="1" customWidth="1"/>
    <col min="3" max="3" width="62.8515625" style="1" customWidth="1"/>
    <col min="4" max="4" width="12.57421875" style="1" customWidth="1"/>
    <col min="5" max="5" width="62.7109375" style="1" customWidth="1"/>
    <col min="6" max="6" width="13.421875" style="1" customWidth="1"/>
    <col min="7" max="7" width="15.28125" style="1" customWidth="1"/>
    <col min="8" max="8" width="16.28125" style="1" customWidth="1"/>
    <col min="9" max="9" width="14.421875" style="1" customWidth="1"/>
    <col min="10" max="10" width="11.00390625" style="1" bestFit="1" customWidth="1"/>
    <col min="11" max="11" width="12.140625" style="1" bestFit="1" customWidth="1"/>
    <col min="12" max="16384" width="9.140625" style="1" customWidth="1"/>
  </cols>
  <sheetData>
    <row r="1" spans="5:7" ht="55.5" customHeight="1">
      <c r="E1" s="14" t="s">
        <v>448</v>
      </c>
      <c r="G1" s="13"/>
    </row>
    <row r="2" spans="5:7" ht="28.5" customHeight="1">
      <c r="E2" s="14" t="s">
        <v>449</v>
      </c>
      <c r="G2" s="13"/>
    </row>
    <row r="3" spans="3:7" ht="39.75" customHeight="1">
      <c r="C3" s="8"/>
      <c r="E3" s="14" t="s">
        <v>563</v>
      </c>
      <c r="G3" s="13"/>
    </row>
    <row r="5" spans="1:10" s="6" customFormat="1" ht="28.5" customHeight="1">
      <c r="A5" s="218" t="s">
        <v>15</v>
      </c>
      <c r="B5" s="218"/>
      <c r="C5" s="218"/>
      <c r="D5" s="218"/>
      <c r="E5" s="218"/>
      <c r="F5" s="218"/>
      <c r="G5" s="218"/>
      <c r="H5" s="49"/>
      <c r="J5" s="50"/>
    </row>
    <row r="6" spans="1:4" ht="5.25" customHeight="1">
      <c r="A6" s="63"/>
      <c r="B6" s="63"/>
      <c r="C6" s="63"/>
      <c r="D6" s="63"/>
    </row>
    <row r="7" spans="1:8" ht="16.5" customHeight="1">
      <c r="A7" s="63"/>
      <c r="B7" s="63"/>
      <c r="C7" s="63"/>
      <c r="D7" s="63"/>
      <c r="E7" s="63"/>
      <c r="F7" s="63"/>
      <c r="G7" s="68" t="s">
        <v>282</v>
      </c>
      <c r="H7" s="63"/>
    </row>
    <row r="8" spans="1:8" s="2" customFormat="1" ht="45.75" customHeight="1">
      <c r="A8" s="64" t="s">
        <v>251</v>
      </c>
      <c r="B8" s="216" t="s">
        <v>253</v>
      </c>
      <c r="C8" s="216" t="s">
        <v>277</v>
      </c>
      <c r="D8" s="216"/>
      <c r="E8" s="216" t="s">
        <v>280</v>
      </c>
      <c r="F8" s="216"/>
      <c r="G8" s="4" t="s">
        <v>281</v>
      </c>
      <c r="H8" s="20"/>
    </row>
    <row r="9" spans="1:8" s="2" customFormat="1" ht="57.75" customHeight="1">
      <c r="A9" s="64" t="s">
        <v>252</v>
      </c>
      <c r="B9" s="216"/>
      <c r="C9" s="4" t="s">
        <v>278</v>
      </c>
      <c r="D9" s="4" t="s">
        <v>279</v>
      </c>
      <c r="E9" s="4" t="s">
        <v>278</v>
      </c>
      <c r="F9" s="4" t="s">
        <v>279</v>
      </c>
      <c r="G9" s="4" t="s">
        <v>279</v>
      </c>
      <c r="H9" s="20"/>
    </row>
    <row r="10" spans="1:8" s="2" customFormat="1" ht="16.5" customHeight="1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20"/>
    </row>
    <row r="11" spans="1:9" s="2" customFormat="1" ht="31.5">
      <c r="A11" s="22" t="s">
        <v>384</v>
      </c>
      <c r="B11" s="23" t="s">
        <v>255</v>
      </c>
      <c r="C11" s="4"/>
      <c r="D11" s="24">
        <f>D13+D14+D23+D24+D26+D28+D29+D30</f>
        <v>0</v>
      </c>
      <c r="E11" s="4"/>
      <c r="F11" s="28">
        <f>F12+F15+F16+F20+F21+F23+F24+F26+F28+F29+F30</f>
        <v>0</v>
      </c>
      <c r="G11" s="28">
        <f>D11+F11</f>
        <v>0</v>
      </c>
      <c r="H11" s="47"/>
      <c r="I11" s="46"/>
    </row>
    <row r="12" spans="1:9" s="20" customFormat="1" ht="47.25">
      <c r="A12" s="217" t="s">
        <v>416</v>
      </c>
      <c r="B12" s="216" t="s">
        <v>417</v>
      </c>
      <c r="C12" s="4"/>
      <c r="D12" s="17"/>
      <c r="E12" s="4" t="s">
        <v>571</v>
      </c>
      <c r="F12" s="19"/>
      <c r="G12" s="19">
        <f>D12+F12</f>
        <v>0</v>
      </c>
      <c r="I12" s="46"/>
    </row>
    <row r="13" spans="1:9" s="20" customFormat="1" ht="68.25" customHeight="1">
      <c r="A13" s="217"/>
      <c r="B13" s="216"/>
      <c r="C13" s="61" t="s">
        <v>538</v>
      </c>
      <c r="D13" s="17"/>
      <c r="E13" s="4"/>
      <c r="F13" s="19"/>
      <c r="G13" s="19">
        <f aca="true" t="shared" si="0" ref="G13:G25">D13+F13</f>
        <v>0</v>
      </c>
      <c r="I13" s="46"/>
    </row>
    <row r="14" spans="1:9" s="20" customFormat="1" ht="51" customHeight="1">
      <c r="A14" s="217" t="s">
        <v>295</v>
      </c>
      <c r="B14" s="216" t="s">
        <v>321</v>
      </c>
      <c r="C14" s="4" t="s">
        <v>574</v>
      </c>
      <c r="D14" s="17"/>
      <c r="E14" s="4"/>
      <c r="F14" s="9"/>
      <c r="G14" s="19">
        <f t="shared" si="0"/>
        <v>0</v>
      </c>
      <c r="I14" s="46"/>
    </row>
    <row r="15" spans="1:9" s="20" customFormat="1" ht="31.5">
      <c r="A15" s="217"/>
      <c r="B15" s="216"/>
      <c r="C15" s="4"/>
      <c r="D15" s="17"/>
      <c r="E15" s="35" t="s">
        <v>573</v>
      </c>
      <c r="F15" s="36"/>
      <c r="G15" s="59">
        <f t="shared" si="0"/>
        <v>0</v>
      </c>
      <c r="I15" s="46"/>
    </row>
    <row r="16" spans="1:9" s="20" customFormat="1" ht="63">
      <c r="A16" s="217" t="s">
        <v>301</v>
      </c>
      <c r="B16" s="216" t="s">
        <v>302</v>
      </c>
      <c r="C16" s="216"/>
      <c r="D16" s="17"/>
      <c r="E16" s="4" t="s">
        <v>572</v>
      </c>
      <c r="F16" s="19"/>
      <c r="G16" s="19">
        <f t="shared" si="0"/>
        <v>0</v>
      </c>
      <c r="I16" s="46"/>
    </row>
    <row r="17" spans="1:9" s="20" customFormat="1" ht="44.25" customHeight="1" hidden="1">
      <c r="A17" s="217"/>
      <c r="B17" s="216"/>
      <c r="C17" s="216"/>
      <c r="D17" s="5"/>
      <c r="E17" s="4" t="s">
        <v>379</v>
      </c>
      <c r="F17" s="9"/>
      <c r="G17" s="19">
        <f t="shared" si="0"/>
        <v>0</v>
      </c>
      <c r="I17" s="46"/>
    </row>
    <row r="18" spans="1:9" s="20" customFormat="1" ht="47.25" customHeight="1" hidden="1">
      <c r="A18" s="217"/>
      <c r="B18" s="216"/>
      <c r="C18" s="216"/>
      <c r="D18" s="5"/>
      <c r="E18" s="4" t="s">
        <v>378</v>
      </c>
      <c r="F18" s="19">
        <v>0</v>
      </c>
      <c r="G18" s="19">
        <f t="shared" si="0"/>
        <v>0</v>
      </c>
      <c r="I18" s="46"/>
    </row>
    <row r="19" spans="1:9" s="20" customFormat="1" ht="15.75" hidden="1">
      <c r="A19" s="217"/>
      <c r="B19" s="216"/>
      <c r="C19" s="216"/>
      <c r="D19" s="5"/>
      <c r="E19" s="4"/>
      <c r="F19" s="19">
        <v>0</v>
      </c>
      <c r="G19" s="19">
        <f t="shared" si="0"/>
        <v>0</v>
      </c>
      <c r="I19" s="46"/>
    </row>
    <row r="20" spans="1:9" s="20" customFormat="1" ht="222" customHeight="1">
      <c r="A20" s="18" t="s">
        <v>465</v>
      </c>
      <c r="B20" s="40" t="s">
        <v>466</v>
      </c>
      <c r="C20" s="4"/>
      <c r="D20" s="5"/>
      <c r="E20" s="4" t="s">
        <v>508</v>
      </c>
      <c r="F20" s="19"/>
      <c r="G20" s="19">
        <f t="shared" si="0"/>
        <v>0</v>
      </c>
      <c r="I20" s="46"/>
    </row>
    <row r="21" spans="1:9" s="20" customFormat="1" ht="46.5" customHeight="1">
      <c r="A21" s="26">
        <v>240900</v>
      </c>
      <c r="B21" s="4" t="s">
        <v>322</v>
      </c>
      <c r="C21" s="16"/>
      <c r="D21" s="15"/>
      <c r="E21" s="4" t="s">
        <v>575</v>
      </c>
      <c r="F21" s="19"/>
      <c r="G21" s="19">
        <f t="shared" si="0"/>
        <v>0</v>
      </c>
      <c r="I21" s="46"/>
    </row>
    <row r="22" spans="1:9" s="20" customFormat="1" ht="75" customHeight="1" hidden="1">
      <c r="A22" s="26">
        <v>250203</v>
      </c>
      <c r="B22" s="4" t="s">
        <v>443</v>
      </c>
      <c r="C22" s="4"/>
      <c r="D22" s="21">
        <v>0</v>
      </c>
      <c r="E22" s="4"/>
      <c r="F22" s="9"/>
      <c r="G22" s="19">
        <f t="shared" si="0"/>
        <v>0</v>
      </c>
      <c r="I22" s="46"/>
    </row>
    <row r="23" spans="1:9" s="20" customFormat="1" ht="94.5">
      <c r="A23" s="215">
        <v>250404</v>
      </c>
      <c r="B23" s="216" t="s">
        <v>309</v>
      </c>
      <c r="C23" s="4" t="s">
        <v>554</v>
      </c>
      <c r="D23" s="21">
        <v>0</v>
      </c>
      <c r="E23" s="9"/>
      <c r="F23" s="12"/>
      <c r="G23" s="19">
        <f t="shared" si="0"/>
        <v>0</v>
      </c>
      <c r="I23" s="46"/>
    </row>
    <row r="24" spans="1:9" s="20" customFormat="1" ht="63">
      <c r="A24" s="215"/>
      <c r="B24" s="216"/>
      <c r="C24" s="4" t="s">
        <v>572</v>
      </c>
      <c r="D24" s="17">
        <v>0</v>
      </c>
      <c r="E24" s="4"/>
      <c r="F24" s="19">
        <v>0</v>
      </c>
      <c r="G24" s="19">
        <f t="shared" si="0"/>
        <v>0</v>
      </c>
      <c r="I24" s="46"/>
    </row>
    <row r="25" spans="1:9" s="20" customFormat="1" ht="32.25" customHeight="1" hidden="1">
      <c r="A25" s="215"/>
      <c r="B25" s="216"/>
      <c r="C25" s="4" t="s">
        <v>380</v>
      </c>
      <c r="D25" s="17">
        <v>120000</v>
      </c>
      <c r="E25" s="4" t="s">
        <v>380</v>
      </c>
      <c r="F25" s="19">
        <v>0</v>
      </c>
      <c r="G25" s="19">
        <f t="shared" si="0"/>
        <v>120000</v>
      </c>
      <c r="I25" s="46"/>
    </row>
    <row r="26" spans="1:9" s="20" customFormat="1" ht="65.25" customHeight="1">
      <c r="A26" s="215"/>
      <c r="B26" s="216"/>
      <c r="C26" s="4" t="s">
        <v>576</v>
      </c>
      <c r="D26" s="17">
        <v>0</v>
      </c>
      <c r="E26" s="4"/>
      <c r="F26" s="19">
        <v>0</v>
      </c>
      <c r="G26" s="19">
        <f aca="true" t="shared" si="1" ref="G26:G31">D26+F26</f>
        <v>0</v>
      </c>
      <c r="I26" s="46"/>
    </row>
    <row r="27" spans="1:9" s="20" customFormat="1" ht="38.25" customHeight="1" hidden="1">
      <c r="A27" s="215"/>
      <c r="B27" s="216"/>
      <c r="C27" s="4" t="s">
        <v>447</v>
      </c>
      <c r="D27" s="17">
        <v>0</v>
      </c>
      <c r="E27" s="4"/>
      <c r="F27" s="19"/>
      <c r="G27" s="19">
        <f t="shared" si="1"/>
        <v>0</v>
      </c>
      <c r="I27" s="46"/>
    </row>
    <row r="28" spans="1:9" s="20" customFormat="1" ht="46.5" customHeight="1">
      <c r="A28" s="215"/>
      <c r="B28" s="216"/>
      <c r="C28" s="35" t="s">
        <v>573</v>
      </c>
      <c r="D28" s="38">
        <v>0</v>
      </c>
      <c r="E28" s="35"/>
      <c r="F28" s="36"/>
      <c r="G28" s="59">
        <f t="shared" si="1"/>
        <v>0</v>
      </c>
      <c r="I28" s="46"/>
    </row>
    <row r="29" spans="1:9" s="20" customFormat="1" ht="62.25" customHeight="1">
      <c r="A29" s="215"/>
      <c r="B29" s="216"/>
      <c r="C29" s="4" t="s">
        <v>570</v>
      </c>
      <c r="D29" s="17"/>
      <c r="E29" s="35"/>
      <c r="F29" s="36"/>
      <c r="G29" s="19">
        <f t="shared" si="1"/>
        <v>0</v>
      </c>
      <c r="I29" s="46"/>
    </row>
    <row r="30" spans="1:9" s="20" customFormat="1" ht="63">
      <c r="A30" s="215"/>
      <c r="B30" s="216"/>
      <c r="C30" s="4" t="s">
        <v>508</v>
      </c>
      <c r="D30" s="17"/>
      <c r="E30" s="4"/>
      <c r="F30" s="19"/>
      <c r="G30" s="19">
        <f t="shared" si="1"/>
        <v>0</v>
      </c>
      <c r="I30" s="46"/>
    </row>
    <row r="31" spans="1:9" s="20" customFormat="1" ht="47.25">
      <c r="A31" s="22" t="s">
        <v>392</v>
      </c>
      <c r="B31" s="23" t="s">
        <v>266</v>
      </c>
      <c r="C31" s="4"/>
      <c r="D31" s="24">
        <f>D33+D34+D35+D36+D37+D40+D41+D42+D44++D46+D49+D50+D51+D52+D53+D54+D55+D56+D57+D58+D59+D60+D61+D62+D63+D68+D69</f>
        <v>0</v>
      </c>
      <c r="E31" s="5"/>
      <c r="F31" s="24">
        <f>F34+F35+F37+F41+F45+F46+F49+F59+F52+F63+F64+F65+F66+F67+F68</f>
        <v>0</v>
      </c>
      <c r="G31" s="24">
        <f t="shared" si="1"/>
        <v>0</v>
      </c>
      <c r="H31" s="47"/>
      <c r="I31" s="46"/>
    </row>
    <row r="32" spans="1:9" s="20" customFormat="1" ht="44.25" customHeight="1" hidden="1">
      <c r="A32" s="18" t="s">
        <v>416</v>
      </c>
      <c r="B32" s="4" t="s">
        <v>417</v>
      </c>
      <c r="C32" s="4" t="s">
        <v>441</v>
      </c>
      <c r="D32" s="17"/>
      <c r="E32" s="4"/>
      <c r="F32" s="19"/>
      <c r="G32" s="9">
        <v>0</v>
      </c>
      <c r="I32" s="46"/>
    </row>
    <row r="33" spans="1:9" s="20" customFormat="1" ht="66" customHeight="1">
      <c r="A33" s="18" t="s">
        <v>416</v>
      </c>
      <c r="B33" s="4" t="s">
        <v>417</v>
      </c>
      <c r="C33" s="58" t="s">
        <v>538</v>
      </c>
      <c r="D33" s="17">
        <v>0</v>
      </c>
      <c r="E33" s="4"/>
      <c r="F33" s="19"/>
      <c r="G33" s="19">
        <f>D33+F33</f>
        <v>0</v>
      </c>
      <c r="I33" s="46"/>
    </row>
    <row r="34" spans="1:9" s="20" customFormat="1" ht="33" customHeight="1">
      <c r="A34" s="217" t="s">
        <v>284</v>
      </c>
      <c r="B34" s="216" t="s">
        <v>324</v>
      </c>
      <c r="C34" s="58" t="s">
        <v>530</v>
      </c>
      <c r="D34" s="17">
        <v>0</v>
      </c>
      <c r="E34" s="4" t="s">
        <v>577</v>
      </c>
      <c r="F34" s="19">
        <v>0</v>
      </c>
      <c r="G34" s="19">
        <f>D34+F34</f>
        <v>0</v>
      </c>
      <c r="H34" s="47"/>
      <c r="I34" s="46"/>
    </row>
    <row r="35" spans="1:9" s="20" customFormat="1" ht="47.25">
      <c r="A35" s="217"/>
      <c r="B35" s="216"/>
      <c r="C35" s="35" t="s">
        <v>518</v>
      </c>
      <c r="D35" s="38">
        <v>0</v>
      </c>
      <c r="E35" s="35" t="s">
        <v>518</v>
      </c>
      <c r="F35" s="36">
        <v>0</v>
      </c>
      <c r="G35" s="19">
        <f>D35+F35</f>
        <v>0</v>
      </c>
      <c r="I35" s="46"/>
    </row>
    <row r="36" spans="1:9" s="20" customFormat="1" ht="71.25" customHeight="1">
      <c r="A36" s="217"/>
      <c r="B36" s="216"/>
      <c r="C36" s="58" t="s">
        <v>538</v>
      </c>
      <c r="D36" s="17">
        <v>0</v>
      </c>
      <c r="E36" s="35"/>
      <c r="F36" s="36"/>
      <c r="G36" s="19">
        <f>D36+F36</f>
        <v>0</v>
      </c>
      <c r="I36" s="46"/>
    </row>
    <row r="37" spans="1:9" s="20" customFormat="1" ht="35.25" customHeight="1">
      <c r="A37" s="217" t="s">
        <v>285</v>
      </c>
      <c r="B37" s="217" t="s">
        <v>325</v>
      </c>
      <c r="C37" s="58" t="s">
        <v>530</v>
      </c>
      <c r="D37" s="17">
        <v>0</v>
      </c>
      <c r="E37" s="4" t="s">
        <v>577</v>
      </c>
      <c r="F37" s="19">
        <v>0</v>
      </c>
      <c r="G37" s="19">
        <f>D37+F37</f>
        <v>0</v>
      </c>
      <c r="H37" s="47"/>
      <c r="I37" s="46"/>
    </row>
    <row r="38" spans="1:9" s="20" customFormat="1" ht="32.25" customHeight="1" hidden="1">
      <c r="A38" s="217"/>
      <c r="B38" s="217"/>
      <c r="C38" s="58" t="s">
        <v>481</v>
      </c>
      <c r="D38" s="17"/>
      <c r="E38" s="4" t="s">
        <v>481</v>
      </c>
      <c r="F38" s="19"/>
      <c r="G38" s="19">
        <f aca="true" t="shared" si="2" ref="G38:G48">D38+F38</f>
        <v>0</v>
      </c>
      <c r="I38" s="46"/>
    </row>
    <row r="39" spans="1:9" s="20" customFormat="1" ht="66" customHeight="1" hidden="1">
      <c r="A39" s="217"/>
      <c r="B39" s="217"/>
      <c r="C39" s="58" t="s">
        <v>481</v>
      </c>
      <c r="D39" s="17"/>
      <c r="E39" s="4" t="s">
        <v>481</v>
      </c>
      <c r="F39" s="19"/>
      <c r="G39" s="19">
        <f t="shared" si="2"/>
        <v>0</v>
      </c>
      <c r="I39" s="46"/>
    </row>
    <row r="40" spans="1:9" s="20" customFormat="1" ht="35.25" customHeight="1">
      <c r="A40" s="217"/>
      <c r="B40" s="217"/>
      <c r="C40" s="58" t="s">
        <v>535</v>
      </c>
      <c r="D40" s="17">
        <v>0</v>
      </c>
      <c r="E40" s="4"/>
      <c r="F40" s="19"/>
      <c r="G40" s="19">
        <f t="shared" si="2"/>
        <v>0</v>
      </c>
      <c r="I40" s="46"/>
    </row>
    <row r="41" spans="1:9" s="20" customFormat="1" ht="47.25">
      <c r="A41" s="217"/>
      <c r="B41" s="217"/>
      <c r="C41" s="35" t="s">
        <v>518</v>
      </c>
      <c r="D41" s="38">
        <v>0</v>
      </c>
      <c r="E41" s="35" t="s">
        <v>518</v>
      </c>
      <c r="F41" s="36">
        <v>0</v>
      </c>
      <c r="G41" s="19">
        <f t="shared" si="2"/>
        <v>0</v>
      </c>
      <c r="I41" s="46"/>
    </row>
    <row r="42" spans="1:9" s="20" customFormat="1" ht="66" customHeight="1">
      <c r="A42" s="217"/>
      <c r="B42" s="217"/>
      <c r="C42" s="58" t="s">
        <v>538</v>
      </c>
      <c r="D42" s="17">
        <v>0</v>
      </c>
      <c r="E42" s="35"/>
      <c r="F42" s="36"/>
      <c r="G42" s="19">
        <f t="shared" si="2"/>
        <v>0</v>
      </c>
      <c r="I42" s="46"/>
    </row>
    <row r="43" spans="1:9" s="20" customFormat="1" ht="35.25" customHeight="1">
      <c r="A43" s="217" t="s">
        <v>286</v>
      </c>
      <c r="B43" s="216" t="s">
        <v>326</v>
      </c>
      <c r="C43" s="58" t="s">
        <v>530</v>
      </c>
      <c r="D43" s="17">
        <v>0</v>
      </c>
      <c r="E43" s="4"/>
      <c r="F43" s="19"/>
      <c r="G43" s="19">
        <f t="shared" si="2"/>
        <v>0</v>
      </c>
      <c r="I43" s="46"/>
    </row>
    <row r="44" spans="1:9" s="20" customFormat="1" ht="70.5" customHeight="1">
      <c r="A44" s="217"/>
      <c r="B44" s="216"/>
      <c r="C44" s="58" t="s">
        <v>538</v>
      </c>
      <c r="D44" s="17">
        <v>0</v>
      </c>
      <c r="E44" s="4"/>
      <c r="F44" s="19"/>
      <c r="G44" s="19">
        <f t="shared" si="2"/>
        <v>0</v>
      </c>
      <c r="I44" s="46"/>
    </row>
    <row r="45" spans="1:9" s="20" customFormat="1" ht="31.5">
      <c r="A45" s="217"/>
      <c r="B45" s="216"/>
      <c r="C45" s="4"/>
      <c r="D45" s="17"/>
      <c r="E45" s="35" t="s">
        <v>573</v>
      </c>
      <c r="F45" s="36">
        <v>0</v>
      </c>
      <c r="G45" s="19">
        <f t="shared" si="2"/>
        <v>0</v>
      </c>
      <c r="H45" s="47"/>
      <c r="I45" s="46"/>
    </row>
    <row r="46" spans="1:9" s="20" customFormat="1" ht="39" customHeight="1">
      <c r="A46" s="217" t="s">
        <v>243</v>
      </c>
      <c r="B46" s="216" t="s">
        <v>244</v>
      </c>
      <c r="C46" s="58" t="s">
        <v>517</v>
      </c>
      <c r="D46" s="17">
        <v>0</v>
      </c>
      <c r="E46" s="4" t="s">
        <v>0</v>
      </c>
      <c r="F46" s="19">
        <v>0</v>
      </c>
      <c r="G46" s="19">
        <f t="shared" si="2"/>
        <v>0</v>
      </c>
      <c r="H46" s="47"/>
      <c r="I46" s="46"/>
    </row>
    <row r="47" spans="1:9" s="20" customFormat="1" ht="46.5" customHeight="1" hidden="1">
      <c r="A47" s="217"/>
      <c r="B47" s="216"/>
      <c r="C47" s="4" t="s">
        <v>561</v>
      </c>
      <c r="D47" s="17">
        <v>0</v>
      </c>
      <c r="E47" s="4" t="s">
        <v>561</v>
      </c>
      <c r="F47" s="19">
        <v>0</v>
      </c>
      <c r="G47" s="19">
        <f t="shared" si="2"/>
        <v>0</v>
      </c>
      <c r="I47" s="46"/>
    </row>
    <row r="48" spans="1:9" s="20" customFormat="1" ht="51.75" customHeight="1" hidden="1">
      <c r="A48" s="217"/>
      <c r="B48" s="216"/>
      <c r="C48" s="4"/>
      <c r="D48" s="21">
        <v>0</v>
      </c>
      <c r="E48" s="26"/>
      <c r="F48" s="16"/>
      <c r="G48" s="19">
        <f t="shared" si="2"/>
        <v>0</v>
      </c>
      <c r="I48" s="46"/>
    </row>
    <row r="49" spans="1:9" s="20" customFormat="1" ht="47.25">
      <c r="A49" s="217"/>
      <c r="B49" s="216"/>
      <c r="C49" s="35" t="s">
        <v>518</v>
      </c>
      <c r="D49" s="36">
        <v>0</v>
      </c>
      <c r="E49" s="35" t="s">
        <v>518</v>
      </c>
      <c r="F49" s="36">
        <v>0</v>
      </c>
      <c r="G49" s="19">
        <f>D49+F49</f>
        <v>0</v>
      </c>
      <c r="I49" s="46"/>
    </row>
    <row r="50" spans="1:9" s="20" customFormat="1" ht="66.75" customHeight="1">
      <c r="A50" s="217"/>
      <c r="B50" s="216"/>
      <c r="C50" s="58" t="s">
        <v>538</v>
      </c>
      <c r="D50" s="19">
        <v>0</v>
      </c>
      <c r="E50" s="35"/>
      <c r="F50" s="36"/>
      <c r="G50" s="19">
        <f aca="true" t="shared" si="3" ref="G50:G67">D50+F50</f>
        <v>0</v>
      </c>
      <c r="I50" s="46"/>
    </row>
    <row r="51" spans="1:9" s="20" customFormat="1" ht="63.75" customHeight="1">
      <c r="A51" s="18" t="s">
        <v>532</v>
      </c>
      <c r="B51" s="4" t="s">
        <v>531</v>
      </c>
      <c r="C51" s="58" t="s">
        <v>538</v>
      </c>
      <c r="D51" s="19">
        <v>0</v>
      </c>
      <c r="E51" s="35"/>
      <c r="F51" s="36"/>
      <c r="G51" s="19">
        <f t="shared" si="3"/>
        <v>0</v>
      </c>
      <c r="I51" s="46"/>
    </row>
    <row r="52" spans="1:9" s="51" customFormat="1" ht="46.5" customHeight="1">
      <c r="A52" s="18" t="s">
        <v>539</v>
      </c>
      <c r="B52" s="4" t="s">
        <v>540</v>
      </c>
      <c r="C52" s="58" t="s">
        <v>530</v>
      </c>
      <c r="D52" s="19">
        <v>0</v>
      </c>
      <c r="E52" s="4" t="s">
        <v>577</v>
      </c>
      <c r="F52" s="19">
        <v>0</v>
      </c>
      <c r="G52" s="19">
        <f t="shared" si="3"/>
        <v>0</v>
      </c>
      <c r="H52" s="47"/>
      <c r="I52" s="52"/>
    </row>
    <row r="53" spans="1:9" s="20" customFormat="1" ht="60.75" customHeight="1">
      <c r="A53" s="18" t="s">
        <v>533</v>
      </c>
      <c r="B53" s="4" t="s">
        <v>534</v>
      </c>
      <c r="C53" s="60" t="s">
        <v>538</v>
      </c>
      <c r="D53" s="19">
        <v>0</v>
      </c>
      <c r="E53" s="35"/>
      <c r="F53" s="36"/>
      <c r="G53" s="19">
        <f t="shared" si="3"/>
        <v>0</v>
      </c>
      <c r="I53" s="46"/>
    </row>
    <row r="54" spans="1:9" s="20" customFormat="1" ht="47.25">
      <c r="A54" s="25" t="s">
        <v>298</v>
      </c>
      <c r="B54" s="4" t="s">
        <v>245</v>
      </c>
      <c r="C54" s="4" t="s">
        <v>2</v>
      </c>
      <c r="D54" s="21">
        <v>0</v>
      </c>
      <c r="E54" s="4"/>
      <c r="F54" s="16"/>
      <c r="G54" s="19">
        <f t="shared" si="3"/>
        <v>0</v>
      </c>
      <c r="I54" s="46"/>
    </row>
    <row r="55" spans="1:9" s="20" customFormat="1" ht="95.25" customHeight="1">
      <c r="A55" s="18" t="s">
        <v>287</v>
      </c>
      <c r="B55" s="4" t="s">
        <v>320</v>
      </c>
      <c r="C55" s="60" t="s">
        <v>535</v>
      </c>
      <c r="D55" s="17">
        <v>0</v>
      </c>
      <c r="E55" s="4"/>
      <c r="F55" s="9"/>
      <c r="G55" s="19">
        <f t="shared" si="3"/>
        <v>0</v>
      </c>
      <c r="I55" s="46"/>
    </row>
    <row r="56" spans="1:9" s="20" customFormat="1" ht="35.25" customHeight="1">
      <c r="A56" s="18" t="s">
        <v>408</v>
      </c>
      <c r="B56" s="4" t="s">
        <v>409</v>
      </c>
      <c r="C56" s="60" t="s">
        <v>495</v>
      </c>
      <c r="D56" s="17">
        <v>0</v>
      </c>
      <c r="E56" s="4"/>
      <c r="F56" s="9"/>
      <c r="G56" s="19">
        <f t="shared" si="3"/>
        <v>0</v>
      </c>
      <c r="I56" s="46"/>
    </row>
    <row r="57" spans="1:9" s="20" customFormat="1" ht="47.25">
      <c r="A57" s="18" t="s">
        <v>492</v>
      </c>
      <c r="B57" s="4" t="s">
        <v>493</v>
      </c>
      <c r="C57" s="60" t="s">
        <v>495</v>
      </c>
      <c r="D57" s="17">
        <v>0</v>
      </c>
      <c r="E57" s="4"/>
      <c r="F57" s="19"/>
      <c r="G57" s="19">
        <f t="shared" si="3"/>
        <v>0</v>
      </c>
      <c r="I57" s="46"/>
    </row>
    <row r="58" spans="1:9" s="20" customFormat="1" ht="31.5" customHeight="1">
      <c r="A58" s="217" t="s">
        <v>327</v>
      </c>
      <c r="B58" s="216" t="s">
        <v>442</v>
      </c>
      <c r="C58" s="60" t="s">
        <v>495</v>
      </c>
      <c r="D58" s="17">
        <v>0</v>
      </c>
      <c r="E58" s="4"/>
      <c r="F58" s="19"/>
      <c r="G58" s="19">
        <f t="shared" si="3"/>
        <v>0</v>
      </c>
      <c r="I58" s="46"/>
    </row>
    <row r="59" spans="1:9" s="20" customFormat="1" ht="47.25">
      <c r="A59" s="217"/>
      <c r="B59" s="216"/>
      <c r="C59" s="35" t="s">
        <v>518</v>
      </c>
      <c r="D59" s="36">
        <v>0</v>
      </c>
      <c r="E59" s="35" t="s">
        <v>573</v>
      </c>
      <c r="F59" s="36">
        <v>0</v>
      </c>
      <c r="G59" s="19">
        <f t="shared" si="3"/>
        <v>0</v>
      </c>
      <c r="H59" s="47"/>
      <c r="I59" s="46"/>
    </row>
    <row r="60" spans="1:9" s="20" customFormat="1" ht="65.25" customHeight="1">
      <c r="A60" s="217"/>
      <c r="B60" s="216"/>
      <c r="C60" s="4" t="s">
        <v>538</v>
      </c>
      <c r="D60" s="19">
        <v>0</v>
      </c>
      <c r="E60" s="35"/>
      <c r="F60" s="36"/>
      <c r="G60" s="19">
        <f t="shared" si="3"/>
        <v>0</v>
      </c>
      <c r="I60" s="46"/>
    </row>
    <row r="61" spans="1:9" s="20" customFormat="1" ht="47.25">
      <c r="A61" s="18" t="s">
        <v>406</v>
      </c>
      <c r="B61" s="4" t="s">
        <v>407</v>
      </c>
      <c r="C61" s="4" t="s">
        <v>509</v>
      </c>
      <c r="D61" s="17">
        <v>0</v>
      </c>
      <c r="E61" s="4"/>
      <c r="F61" s="19"/>
      <c r="G61" s="19">
        <f t="shared" si="3"/>
        <v>0</v>
      </c>
      <c r="I61" s="46"/>
    </row>
    <row r="62" spans="1:9" s="20" customFormat="1" ht="63">
      <c r="A62" s="215">
        <v>130112</v>
      </c>
      <c r="B62" s="216" t="s">
        <v>309</v>
      </c>
      <c r="C62" s="58" t="s">
        <v>538</v>
      </c>
      <c r="D62" s="17">
        <v>0</v>
      </c>
      <c r="E62" s="4"/>
      <c r="F62" s="19"/>
      <c r="G62" s="19">
        <f t="shared" si="3"/>
        <v>0</v>
      </c>
      <c r="I62" s="46"/>
    </row>
    <row r="63" spans="1:9" s="20" customFormat="1" ht="37.5" customHeight="1">
      <c r="A63" s="215"/>
      <c r="B63" s="216"/>
      <c r="C63" s="4" t="s">
        <v>1</v>
      </c>
      <c r="D63" s="21">
        <v>0</v>
      </c>
      <c r="E63" s="60" t="s">
        <v>495</v>
      </c>
      <c r="F63" s="12">
        <v>0</v>
      </c>
      <c r="G63" s="19">
        <f t="shared" si="3"/>
        <v>0</v>
      </c>
      <c r="H63" s="47"/>
      <c r="I63" s="46"/>
    </row>
    <row r="64" spans="1:9" s="20" customFormat="1" ht="31.5">
      <c r="A64" s="217" t="s">
        <v>301</v>
      </c>
      <c r="B64" s="216" t="s">
        <v>302</v>
      </c>
      <c r="C64" s="4"/>
      <c r="D64" s="5"/>
      <c r="E64" s="4" t="s">
        <v>577</v>
      </c>
      <c r="F64" s="12">
        <v>0</v>
      </c>
      <c r="G64" s="19">
        <f t="shared" si="3"/>
        <v>0</v>
      </c>
      <c r="H64" s="47"/>
      <c r="I64" s="46"/>
    </row>
    <row r="65" spans="1:9" s="20" customFormat="1" ht="31.5">
      <c r="A65" s="217"/>
      <c r="B65" s="216"/>
      <c r="C65" s="4"/>
      <c r="D65" s="5"/>
      <c r="E65" s="4" t="s">
        <v>0</v>
      </c>
      <c r="F65" s="12">
        <v>0</v>
      </c>
      <c r="G65" s="19">
        <f t="shared" si="3"/>
        <v>0</v>
      </c>
      <c r="I65" s="46"/>
    </row>
    <row r="66" spans="1:9" s="20" customFormat="1" ht="31.5">
      <c r="A66" s="217"/>
      <c r="B66" s="216"/>
      <c r="C66" s="4"/>
      <c r="D66" s="5"/>
      <c r="E66" s="4" t="s">
        <v>3</v>
      </c>
      <c r="F66" s="12">
        <v>0</v>
      </c>
      <c r="G66" s="19">
        <f t="shared" si="3"/>
        <v>0</v>
      </c>
      <c r="I66" s="46"/>
    </row>
    <row r="67" spans="1:9" s="20" customFormat="1" ht="47.25">
      <c r="A67" s="4">
        <v>240601</v>
      </c>
      <c r="B67" s="4" t="s">
        <v>323</v>
      </c>
      <c r="C67" s="4"/>
      <c r="D67" s="5"/>
      <c r="E67" s="4" t="s">
        <v>4</v>
      </c>
      <c r="F67" s="19">
        <v>0</v>
      </c>
      <c r="G67" s="19">
        <f t="shared" si="3"/>
        <v>0</v>
      </c>
      <c r="H67" s="47"/>
      <c r="I67" s="46"/>
    </row>
    <row r="68" spans="1:9" s="20" customFormat="1" ht="77.25" customHeight="1">
      <c r="A68" s="25" t="s">
        <v>241</v>
      </c>
      <c r="B68" s="4" t="s">
        <v>242</v>
      </c>
      <c r="C68" s="219" t="s">
        <v>2</v>
      </c>
      <c r="D68" s="15">
        <v>0</v>
      </c>
      <c r="E68" s="60" t="s">
        <v>494</v>
      </c>
      <c r="F68" s="16">
        <v>0</v>
      </c>
      <c r="G68" s="19">
        <f>D68+F68</f>
        <v>0</v>
      </c>
      <c r="I68" s="46"/>
    </row>
    <row r="69" spans="1:9" s="20" customFormat="1" ht="94.5">
      <c r="A69" s="25" t="s">
        <v>558</v>
      </c>
      <c r="B69" s="4" t="s">
        <v>559</v>
      </c>
      <c r="C69" s="220"/>
      <c r="D69" s="15">
        <v>0</v>
      </c>
      <c r="E69" s="4"/>
      <c r="F69" s="16"/>
      <c r="G69" s="19">
        <f>D69+F69</f>
        <v>0</v>
      </c>
      <c r="I69" s="46"/>
    </row>
    <row r="70" spans="1:9" s="20" customFormat="1" ht="46.5" customHeight="1">
      <c r="A70" s="22" t="s">
        <v>393</v>
      </c>
      <c r="B70" s="23" t="s">
        <v>267</v>
      </c>
      <c r="C70" s="4"/>
      <c r="D70" s="24">
        <f>D72+D73+D74+D75+D76+D77+D78+D79+D80+D81+D83+D82+D85+D86+D87+D89</f>
        <v>0</v>
      </c>
      <c r="E70" s="5"/>
      <c r="F70" s="24">
        <f>F72+F73+F75+F77+F78+F80+F81+F83+F84+F86+F90</f>
        <v>0</v>
      </c>
      <c r="G70" s="28">
        <f>D70+F70</f>
        <v>0</v>
      </c>
      <c r="H70" s="47"/>
      <c r="I70" s="46"/>
    </row>
    <row r="71" spans="1:9" s="20" customFormat="1" ht="34.5" customHeight="1" hidden="1">
      <c r="A71" s="18" t="s">
        <v>416</v>
      </c>
      <c r="B71" s="4" t="s">
        <v>417</v>
      </c>
      <c r="C71" s="4" t="s">
        <v>425</v>
      </c>
      <c r="D71" s="17"/>
      <c r="E71" s="4"/>
      <c r="F71" s="19"/>
      <c r="G71" s="19">
        <v>0</v>
      </c>
      <c r="I71" s="46"/>
    </row>
    <row r="72" spans="1:9" s="20" customFormat="1" ht="52.5" customHeight="1">
      <c r="A72" s="217" t="s">
        <v>289</v>
      </c>
      <c r="B72" s="216" t="s">
        <v>236</v>
      </c>
      <c r="C72" s="60" t="s">
        <v>548</v>
      </c>
      <c r="D72" s="17">
        <v>0</v>
      </c>
      <c r="E72" s="4" t="s">
        <v>5</v>
      </c>
      <c r="F72" s="19">
        <v>0</v>
      </c>
      <c r="G72" s="19">
        <f>D72+F72</f>
        <v>0</v>
      </c>
      <c r="H72" s="47"/>
      <c r="I72" s="46"/>
    </row>
    <row r="73" spans="1:9" s="20" customFormat="1" ht="51.75" customHeight="1">
      <c r="A73" s="217"/>
      <c r="B73" s="216"/>
      <c r="C73" s="4" t="s">
        <v>561</v>
      </c>
      <c r="D73" s="17">
        <v>0</v>
      </c>
      <c r="E73" s="4" t="s">
        <v>561</v>
      </c>
      <c r="F73" s="19">
        <v>0</v>
      </c>
      <c r="G73" s="19">
        <f aca="true" t="shared" si="4" ref="G73:G90">D73+F73</f>
        <v>0</v>
      </c>
      <c r="I73" s="46"/>
    </row>
    <row r="74" spans="1:9" s="20" customFormat="1" ht="54.75" customHeight="1">
      <c r="A74" s="217"/>
      <c r="B74" s="216"/>
      <c r="C74" s="60" t="s">
        <v>549</v>
      </c>
      <c r="D74" s="17">
        <v>0</v>
      </c>
      <c r="E74" s="4"/>
      <c r="F74" s="19"/>
      <c r="G74" s="19">
        <f t="shared" si="4"/>
        <v>0</v>
      </c>
      <c r="I74" s="46"/>
    </row>
    <row r="75" spans="1:9" s="20" customFormat="1" ht="47.25">
      <c r="A75" s="217"/>
      <c r="B75" s="216"/>
      <c r="C75" s="60" t="s">
        <v>518</v>
      </c>
      <c r="D75" s="38">
        <v>0</v>
      </c>
      <c r="E75" s="35" t="s">
        <v>573</v>
      </c>
      <c r="F75" s="36">
        <v>0</v>
      </c>
      <c r="G75" s="19">
        <f t="shared" si="4"/>
        <v>0</v>
      </c>
      <c r="I75" s="46"/>
    </row>
    <row r="76" spans="1:9" s="20" customFormat="1" ht="63">
      <c r="A76" s="217"/>
      <c r="B76" s="216"/>
      <c r="C76" s="60" t="s">
        <v>538</v>
      </c>
      <c r="D76" s="17">
        <v>0</v>
      </c>
      <c r="E76" s="35"/>
      <c r="F76" s="36"/>
      <c r="G76" s="19">
        <f t="shared" si="4"/>
        <v>0</v>
      </c>
      <c r="I76" s="46"/>
    </row>
    <row r="77" spans="1:9" s="20" customFormat="1" ht="50.25" customHeight="1">
      <c r="A77" s="217" t="s">
        <v>328</v>
      </c>
      <c r="B77" s="216" t="s">
        <v>483</v>
      </c>
      <c r="C77" s="60" t="s">
        <v>548</v>
      </c>
      <c r="D77" s="17">
        <v>0</v>
      </c>
      <c r="E77" s="4" t="s">
        <v>5</v>
      </c>
      <c r="F77" s="19">
        <v>0</v>
      </c>
      <c r="G77" s="19">
        <f t="shared" si="4"/>
        <v>0</v>
      </c>
      <c r="H77" s="47"/>
      <c r="I77" s="46"/>
    </row>
    <row r="78" spans="1:9" s="20" customFormat="1" ht="47.25">
      <c r="A78" s="217"/>
      <c r="B78" s="216"/>
      <c r="C78" s="35" t="s">
        <v>518</v>
      </c>
      <c r="D78" s="36">
        <v>0</v>
      </c>
      <c r="E78" s="35" t="s">
        <v>573</v>
      </c>
      <c r="F78" s="36">
        <v>0</v>
      </c>
      <c r="G78" s="19">
        <f t="shared" si="4"/>
        <v>0</v>
      </c>
      <c r="I78" s="46"/>
    </row>
    <row r="79" spans="1:9" s="20" customFormat="1" ht="63">
      <c r="A79" s="217"/>
      <c r="B79" s="216"/>
      <c r="C79" s="61" t="s">
        <v>538</v>
      </c>
      <c r="D79" s="19">
        <v>0</v>
      </c>
      <c r="E79" s="35"/>
      <c r="F79" s="36"/>
      <c r="G79" s="19">
        <f t="shared" si="4"/>
        <v>0</v>
      </c>
      <c r="I79" s="46"/>
    </row>
    <row r="80" spans="1:9" s="20" customFormat="1" ht="47.25">
      <c r="A80" s="217" t="s">
        <v>290</v>
      </c>
      <c r="B80" s="216" t="s">
        <v>237</v>
      </c>
      <c r="C80" s="61" t="s">
        <v>548</v>
      </c>
      <c r="D80" s="17">
        <v>0</v>
      </c>
      <c r="E80" s="4" t="s">
        <v>5</v>
      </c>
      <c r="F80" s="19">
        <v>0</v>
      </c>
      <c r="G80" s="19">
        <f t="shared" si="4"/>
        <v>0</v>
      </c>
      <c r="H80" s="47"/>
      <c r="I80" s="46"/>
    </row>
    <row r="81" spans="1:9" s="20" customFormat="1" ht="47.25">
      <c r="A81" s="217"/>
      <c r="B81" s="216"/>
      <c r="C81" s="35" t="s">
        <v>518</v>
      </c>
      <c r="D81" s="36">
        <v>0</v>
      </c>
      <c r="E81" s="35" t="s">
        <v>573</v>
      </c>
      <c r="F81" s="36">
        <v>0</v>
      </c>
      <c r="G81" s="19">
        <f t="shared" si="4"/>
        <v>0</v>
      </c>
      <c r="I81" s="46"/>
    </row>
    <row r="82" spans="1:9" s="20" customFormat="1" ht="63">
      <c r="A82" s="217"/>
      <c r="B82" s="216"/>
      <c r="C82" s="61" t="s">
        <v>538</v>
      </c>
      <c r="D82" s="19">
        <v>0</v>
      </c>
      <c r="E82" s="35"/>
      <c r="F82" s="36"/>
      <c r="G82" s="19">
        <f t="shared" si="4"/>
        <v>0</v>
      </c>
      <c r="I82" s="46"/>
    </row>
    <row r="83" spans="1:9" s="20" customFormat="1" ht="47.25" customHeight="1">
      <c r="A83" s="217" t="s">
        <v>291</v>
      </c>
      <c r="B83" s="216" t="s">
        <v>238</v>
      </c>
      <c r="C83" s="61" t="s">
        <v>548</v>
      </c>
      <c r="D83" s="17">
        <v>0</v>
      </c>
      <c r="E83" s="4" t="s">
        <v>5</v>
      </c>
      <c r="F83" s="19">
        <v>0</v>
      </c>
      <c r="G83" s="19">
        <f t="shared" si="4"/>
        <v>0</v>
      </c>
      <c r="H83" s="47"/>
      <c r="I83" s="46"/>
    </row>
    <row r="84" spans="1:9" s="20" customFormat="1" ht="31.5">
      <c r="A84" s="217"/>
      <c r="B84" s="216"/>
      <c r="C84" s="4"/>
      <c r="D84" s="17"/>
      <c r="E84" s="35" t="s">
        <v>573</v>
      </c>
      <c r="F84" s="36">
        <v>0</v>
      </c>
      <c r="G84" s="19">
        <f t="shared" si="4"/>
        <v>0</v>
      </c>
      <c r="I84" s="46"/>
    </row>
    <row r="85" spans="1:9" s="20" customFormat="1" ht="66" customHeight="1">
      <c r="A85" s="217"/>
      <c r="B85" s="216"/>
      <c r="C85" s="61" t="s">
        <v>538</v>
      </c>
      <c r="D85" s="17">
        <v>0</v>
      </c>
      <c r="E85" s="35"/>
      <c r="F85" s="36"/>
      <c r="G85" s="19">
        <f t="shared" si="4"/>
        <v>0</v>
      </c>
      <c r="I85" s="46"/>
    </row>
    <row r="86" spans="1:9" s="53" customFormat="1" ht="50.25" customHeight="1">
      <c r="A86" s="18" t="s">
        <v>541</v>
      </c>
      <c r="B86" s="4" t="s">
        <v>542</v>
      </c>
      <c r="C86" s="61" t="s">
        <v>548</v>
      </c>
      <c r="D86" s="17">
        <v>0</v>
      </c>
      <c r="E86" s="4" t="s">
        <v>5</v>
      </c>
      <c r="F86" s="19">
        <v>0</v>
      </c>
      <c r="G86" s="19">
        <f t="shared" si="4"/>
        <v>0</v>
      </c>
      <c r="H86" s="47"/>
      <c r="I86" s="46"/>
    </row>
    <row r="87" spans="1:9" s="20" customFormat="1" ht="47.25">
      <c r="A87" s="18" t="s">
        <v>329</v>
      </c>
      <c r="B87" s="4" t="s">
        <v>330</v>
      </c>
      <c r="C87" s="61" t="s">
        <v>496</v>
      </c>
      <c r="D87" s="17">
        <v>0</v>
      </c>
      <c r="E87" s="4"/>
      <c r="F87" s="9"/>
      <c r="G87" s="19">
        <f t="shared" si="4"/>
        <v>0</v>
      </c>
      <c r="I87" s="46"/>
    </row>
    <row r="88" spans="1:9" s="20" customFormat="1" ht="15.75" customHeight="1" hidden="1">
      <c r="A88" s="18" t="s">
        <v>292</v>
      </c>
      <c r="B88" s="4" t="s">
        <v>239</v>
      </c>
      <c r="C88" s="61"/>
      <c r="D88" s="17"/>
      <c r="E88" s="4"/>
      <c r="F88" s="19">
        <v>0</v>
      </c>
      <c r="G88" s="19">
        <f t="shared" si="4"/>
        <v>0</v>
      </c>
      <c r="I88" s="46"/>
    </row>
    <row r="89" spans="1:9" s="20" customFormat="1" ht="46.5" customHeight="1">
      <c r="A89" s="18" t="s">
        <v>293</v>
      </c>
      <c r="B89" s="4" t="s">
        <v>484</v>
      </c>
      <c r="C89" s="61" t="s">
        <v>497</v>
      </c>
      <c r="D89" s="17">
        <v>0</v>
      </c>
      <c r="E89" s="4"/>
      <c r="F89" s="9"/>
      <c r="G89" s="19">
        <f t="shared" si="4"/>
        <v>0</v>
      </c>
      <c r="I89" s="46"/>
    </row>
    <row r="90" spans="1:9" s="20" customFormat="1" ht="52.5" customHeight="1">
      <c r="A90" s="18" t="s">
        <v>301</v>
      </c>
      <c r="B90" s="4" t="s">
        <v>302</v>
      </c>
      <c r="C90" s="4"/>
      <c r="D90" s="5"/>
      <c r="E90" s="4" t="s">
        <v>5</v>
      </c>
      <c r="F90" s="19">
        <v>0</v>
      </c>
      <c r="G90" s="19">
        <f t="shared" si="4"/>
        <v>0</v>
      </c>
      <c r="H90" s="47"/>
      <c r="I90" s="46"/>
    </row>
    <row r="91" spans="1:9" s="20" customFormat="1" ht="36" customHeight="1" hidden="1">
      <c r="A91" s="217" t="s">
        <v>288</v>
      </c>
      <c r="B91" s="216" t="s">
        <v>322</v>
      </c>
      <c r="C91" s="4"/>
      <c r="D91" s="5"/>
      <c r="E91" s="4" t="s">
        <v>381</v>
      </c>
      <c r="F91" s="12"/>
      <c r="G91" s="9">
        <v>0</v>
      </c>
      <c r="I91" s="46"/>
    </row>
    <row r="92" spans="1:9" s="20" customFormat="1" ht="33" customHeight="1" hidden="1">
      <c r="A92" s="217"/>
      <c r="B92" s="216"/>
      <c r="C92" s="4"/>
      <c r="D92" s="5"/>
      <c r="E92" s="4" t="s">
        <v>382</v>
      </c>
      <c r="F92" s="12"/>
      <c r="G92" s="9">
        <v>0</v>
      </c>
      <c r="I92" s="46"/>
    </row>
    <row r="93" spans="1:9" s="20" customFormat="1" ht="49.5" customHeight="1">
      <c r="A93" s="22" t="s">
        <v>394</v>
      </c>
      <c r="B93" s="23" t="s">
        <v>268</v>
      </c>
      <c r="C93" s="4"/>
      <c r="D93" s="28">
        <f>D96+D99+D101+D102+D104+D105+D106+D107+D108+D109+D113+D115+D116</f>
        <v>0</v>
      </c>
      <c r="E93" s="9"/>
      <c r="F93" s="28">
        <f>F94+F97+F101+F102+F104+F107+F110+F111</f>
        <v>0</v>
      </c>
      <c r="G93" s="28">
        <f>D93+F93</f>
        <v>0</v>
      </c>
      <c r="H93" s="47"/>
      <c r="I93" s="46"/>
    </row>
    <row r="94" spans="1:9" s="20" customFormat="1" ht="47.25">
      <c r="A94" s="217" t="s">
        <v>416</v>
      </c>
      <c r="B94" s="216" t="s">
        <v>417</v>
      </c>
      <c r="C94" s="4"/>
      <c r="D94" s="19"/>
      <c r="E94" s="4" t="s">
        <v>571</v>
      </c>
      <c r="F94" s="19">
        <v>0</v>
      </c>
      <c r="G94" s="19">
        <f>D94+F94</f>
        <v>0</v>
      </c>
      <c r="I94" s="46"/>
    </row>
    <row r="95" spans="1:9" s="20" customFormat="1" ht="96.75" customHeight="1" hidden="1">
      <c r="A95" s="217"/>
      <c r="B95" s="216"/>
      <c r="C95" s="4" t="s">
        <v>482</v>
      </c>
      <c r="D95" s="17">
        <v>0</v>
      </c>
      <c r="E95" s="4"/>
      <c r="F95" s="9"/>
      <c r="G95" s="19">
        <f aca="true" t="shared" si="5" ref="G95:G116">D95+F95</f>
        <v>0</v>
      </c>
      <c r="I95" s="46"/>
    </row>
    <row r="96" spans="1:9" s="20" customFormat="1" ht="64.5" customHeight="1">
      <c r="A96" s="217"/>
      <c r="B96" s="216"/>
      <c r="C96" s="61" t="s">
        <v>538</v>
      </c>
      <c r="D96" s="19">
        <v>0</v>
      </c>
      <c r="E96" s="4"/>
      <c r="F96" s="9"/>
      <c r="G96" s="19">
        <f t="shared" si="5"/>
        <v>0</v>
      </c>
      <c r="I96" s="46"/>
    </row>
    <row r="97" spans="1:9" s="20" customFormat="1" ht="51.75" customHeight="1">
      <c r="A97" s="217" t="s">
        <v>296</v>
      </c>
      <c r="B97" s="216" t="s">
        <v>488</v>
      </c>
      <c r="C97" s="4"/>
      <c r="D97" s="19"/>
      <c r="E97" s="4" t="s">
        <v>571</v>
      </c>
      <c r="F97" s="19">
        <v>0</v>
      </c>
      <c r="G97" s="19">
        <f t="shared" si="5"/>
        <v>0</v>
      </c>
      <c r="I97" s="46"/>
    </row>
    <row r="98" spans="1:9" s="20" customFormat="1" ht="63" hidden="1">
      <c r="A98" s="217"/>
      <c r="B98" s="216"/>
      <c r="C98" s="4" t="s">
        <v>538</v>
      </c>
      <c r="D98" s="17">
        <v>0</v>
      </c>
      <c r="E98" s="4"/>
      <c r="F98" s="19"/>
      <c r="G98" s="19">
        <f t="shared" si="5"/>
        <v>0</v>
      </c>
      <c r="I98" s="46"/>
    </row>
    <row r="99" spans="1:9" s="20" customFormat="1" ht="63">
      <c r="A99" s="18" t="s">
        <v>297</v>
      </c>
      <c r="B99" s="4" t="s">
        <v>489</v>
      </c>
      <c r="C99" s="4" t="s">
        <v>7</v>
      </c>
      <c r="D99" s="17">
        <v>0</v>
      </c>
      <c r="E99" s="4"/>
      <c r="F99" s="9"/>
      <c r="G99" s="19">
        <f t="shared" si="5"/>
        <v>0</v>
      </c>
      <c r="I99" s="46"/>
    </row>
    <row r="100" spans="1:9" s="20" customFormat="1" ht="47.25" hidden="1">
      <c r="A100" s="18" t="s">
        <v>298</v>
      </c>
      <c r="B100" s="4" t="s">
        <v>490</v>
      </c>
      <c r="C100" s="4"/>
      <c r="D100" s="17"/>
      <c r="E100" s="4"/>
      <c r="F100" s="9"/>
      <c r="G100" s="19">
        <f t="shared" si="5"/>
        <v>0</v>
      </c>
      <c r="I100" s="46"/>
    </row>
    <row r="101" spans="1:9" s="20" customFormat="1" ht="50.25" customHeight="1">
      <c r="A101" s="217" t="s">
        <v>414</v>
      </c>
      <c r="B101" s="216" t="s">
        <v>415</v>
      </c>
      <c r="C101" s="4" t="s">
        <v>6</v>
      </c>
      <c r="D101" s="17">
        <v>0</v>
      </c>
      <c r="E101" s="4" t="s">
        <v>6</v>
      </c>
      <c r="F101" s="19">
        <v>0</v>
      </c>
      <c r="G101" s="19">
        <f t="shared" si="5"/>
        <v>0</v>
      </c>
      <c r="I101" s="46"/>
    </row>
    <row r="102" spans="1:9" s="20" customFormat="1" ht="50.25" customHeight="1">
      <c r="A102" s="217"/>
      <c r="B102" s="216"/>
      <c r="C102" s="4" t="s">
        <v>561</v>
      </c>
      <c r="D102" s="17">
        <v>0</v>
      </c>
      <c r="E102" s="4" t="s">
        <v>561</v>
      </c>
      <c r="F102" s="19">
        <v>0</v>
      </c>
      <c r="G102" s="19">
        <f t="shared" si="5"/>
        <v>0</v>
      </c>
      <c r="I102" s="46"/>
    </row>
    <row r="103" spans="1:9" s="20" customFormat="1" ht="110.25" customHeight="1" hidden="1">
      <c r="A103" s="217"/>
      <c r="B103" s="216"/>
      <c r="C103" s="4"/>
      <c r="D103" s="17"/>
      <c r="E103" s="4"/>
      <c r="F103" s="9"/>
      <c r="G103" s="19">
        <f t="shared" si="5"/>
        <v>0</v>
      </c>
      <c r="I103" s="46"/>
    </row>
    <row r="104" spans="1:9" s="20" customFormat="1" ht="51" customHeight="1">
      <c r="A104" s="217"/>
      <c r="B104" s="216"/>
      <c r="C104" s="35" t="s">
        <v>518</v>
      </c>
      <c r="D104" s="37">
        <v>0</v>
      </c>
      <c r="E104" s="35" t="s">
        <v>518</v>
      </c>
      <c r="F104" s="37">
        <v>0</v>
      </c>
      <c r="G104" s="19">
        <f t="shared" si="5"/>
        <v>0</v>
      </c>
      <c r="I104" s="46"/>
    </row>
    <row r="105" spans="1:9" s="20" customFormat="1" ht="63">
      <c r="A105" s="217"/>
      <c r="B105" s="216"/>
      <c r="C105" s="61" t="s">
        <v>538</v>
      </c>
      <c r="D105" s="9">
        <v>0</v>
      </c>
      <c r="E105" s="35"/>
      <c r="F105" s="37"/>
      <c r="G105" s="19">
        <f t="shared" si="5"/>
        <v>0</v>
      </c>
      <c r="I105" s="46"/>
    </row>
    <row r="106" spans="1:9" s="20" customFormat="1" ht="49.5" customHeight="1">
      <c r="A106" s="217" t="s">
        <v>240</v>
      </c>
      <c r="B106" s="216" t="s">
        <v>234</v>
      </c>
      <c r="C106" s="4" t="s">
        <v>6</v>
      </c>
      <c r="D106" s="17">
        <v>0</v>
      </c>
      <c r="E106" s="4"/>
      <c r="F106" s="9"/>
      <c r="G106" s="19">
        <f t="shared" si="5"/>
        <v>0</v>
      </c>
      <c r="I106" s="46"/>
    </row>
    <row r="107" spans="1:9" s="20" customFormat="1" ht="47.25">
      <c r="A107" s="217"/>
      <c r="B107" s="216"/>
      <c r="C107" s="35" t="s">
        <v>518</v>
      </c>
      <c r="D107" s="37">
        <v>0</v>
      </c>
      <c r="E107" s="35" t="s">
        <v>573</v>
      </c>
      <c r="F107" s="37">
        <v>0</v>
      </c>
      <c r="G107" s="19">
        <f t="shared" si="5"/>
        <v>0</v>
      </c>
      <c r="I107" s="46"/>
    </row>
    <row r="108" spans="1:9" s="20" customFormat="1" ht="48" customHeight="1">
      <c r="A108" s="217" t="s">
        <v>303</v>
      </c>
      <c r="B108" s="216" t="s">
        <v>310</v>
      </c>
      <c r="C108" s="61" t="s">
        <v>498</v>
      </c>
      <c r="D108" s="17">
        <v>0</v>
      </c>
      <c r="E108" s="4"/>
      <c r="F108" s="9"/>
      <c r="G108" s="19">
        <f>D108+F108</f>
        <v>0</v>
      </c>
      <c r="I108" s="46"/>
    </row>
    <row r="109" spans="1:9" s="20" customFormat="1" ht="47.25">
      <c r="A109" s="217"/>
      <c r="B109" s="216"/>
      <c r="C109" s="35" t="s">
        <v>518</v>
      </c>
      <c r="D109" s="38">
        <v>0</v>
      </c>
      <c r="E109" s="35"/>
      <c r="F109" s="37"/>
      <c r="G109" s="19">
        <f t="shared" si="5"/>
        <v>0</v>
      </c>
      <c r="I109" s="46"/>
    </row>
    <row r="110" spans="1:9" s="20" customFormat="1" ht="48" customHeight="1">
      <c r="A110" s="217" t="s">
        <v>301</v>
      </c>
      <c r="B110" s="216" t="s">
        <v>302</v>
      </c>
      <c r="C110" s="4"/>
      <c r="D110" s="17"/>
      <c r="E110" s="4" t="s">
        <v>525</v>
      </c>
      <c r="F110" s="12">
        <v>0</v>
      </c>
      <c r="G110" s="19">
        <f t="shared" si="5"/>
        <v>0</v>
      </c>
      <c r="I110" s="46"/>
    </row>
    <row r="111" spans="1:9" s="20" customFormat="1" ht="45.75" customHeight="1">
      <c r="A111" s="217"/>
      <c r="B111" s="216"/>
      <c r="C111" s="4"/>
      <c r="D111" s="5"/>
      <c r="E111" s="4" t="s">
        <v>6</v>
      </c>
      <c r="F111" s="12">
        <v>0</v>
      </c>
      <c r="G111" s="19">
        <f t="shared" si="5"/>
        <v>0</v>
      </c>
      <c r="I111" s="46"/>
    </row>
    <row r="112" spans="1:9" s="20" customFormat="1" ht="52.5" customHeight="1" hidden="1">
      <c r="A112" s="18" t="s">
        <v>250</v>
      </c>
      <c r="B112" s="216" t="s">
        <v>486</v>
      </c>
      <c r="C112" s="4" t="s">
        <v>383</v>
      </c>
      <c r="D112" s="17"/>
      <c r="E112" s="4"/>
      <c r="F112" s="16"/>
      <c r="G112" s="19">
        <f t="shared" si="5"/>
        <v>0</v>
      </c>
      <c r="I112" s="46"/>
    </row>
    <row r="113" spans="1:9" s="20" customFormat="1" ht="49.5" customHeight="1">
      <c r="A113" s="217" t="s">
        <v>250</v>
      </c>
      <c r="B113" s="216"/>
      <c r="C113" s="61" t="s">
        <v>499</v>
      </c>
      <c r="D113" s="17">
        <v>0</v>
      </c>
      <c r="E113" s="4"/>
      <c r="F113" s="16"/>
      <c r="G113" s="19">
        <f t="shared" si="5"/>
        <v>0</v>
      </c>
      <c r="I113" s="46"/>
    </row>
    <row r="114" spans="1:9" s="20" customFormat="1" ht="62.25" customHeight="1" hidden="1">
      <c r="A114" s="217"/>
      <c r="B114" s="216"/>
      <c r="C114" s="61" t="s">
        <v>482</v>
      </c>
      <c r="D114" s="17"/>
      <c r="E114" s="4"/>
      <c r="F114" s="16"/>
      <c r="G114" s="19">
        <f t="shared" si="5"/>
        <v>0</v>
      </c>
      <c r="I114" s="46"/>
    </row>
    <row r="115" spans="1:9" s="20" customFormat="1" ht="78.75" customHeight="1">
      <c r="A115" s="18" t="s">
        <v>304</v>
      </c>
      <c r="B115" s="4" t="s">
        <v>487</v>
      </c>
      <c r="C115" s="61" t="s">
        <v>499</v>
      </c>
      <c r="D115" s="17">
        <v>0</v>
      </c>
      <c r="E115" s="4"/>
      <c r="F115" s="16"/>
      <c r="G115" s="19">
        <f t="shared" si="5"/>
        <v>0</v>
      </c>
      <c r="I115" s="46"/>
    </row>
    <row r="116" spans="1:9" s="20" customFormat="1" ht="51" customHeight="1">
      <c r="A116" s="18" t="s">
        <v>334</v>
      </c>
      <c r="B116" s="4" t="s">
        <v>474</v>
      </c>
      <c r="C116" s="61" t="s">
        <v>499</v>
      </c>
      <c r="D116" s="17">
        <v>0</v>
      </c>
      <c r="E116" s="4"/>
      <c r="F116" s="16"/>
      <c r="G116" s="19">
        <f t="shared" si="5"/>
        <v>0</v>
      </c>
      <c r="I116" s="46"/>
    </row>
    <row r="117" spans="1:9" s="20" customFormat="1" ht="68.25" customHeight="1" hidden="1">
      <c r="A117" s="22" t="s">
        <v>427</v>
      </c>
      <c r="B117" s="23" t="s">
        <v>431</v>
      </c>
      <c r="C117" s="4"/>
      <c r="D117" s="24">
        <v>0</v>
      </c>
      <c r="E117" s="4"/>
      <c r="F117" s="24">
        <v>0</v>
      </c>
      <c r="G117" s="24">
        <v>0</v>
      </c>
      <c r="I117" s="46"/>
    </row>
    <row r="118" spans="1:9" s="20" customFormat="1" ht="31.5" hidden="1">
      <c r="A118" s="18" t="s">
        <v>416</v>
      </c>
      <c r="B118" s="4" t="s">
        <v>417</v>
      </c>
      <c r="C118" s="4" t="s">
        <v>428</v>
      </c>
      <c r="D118" s="17"/>
      <c r="E118" s="4" t="s">
        <v>428</v>
      </c>
      <c r="F118" s="12"/>
      <c r="G118" s="9">
        <v>0</v>
      </c>
      <c r="I118" s="46"/>
    </row>
    <row r="119" spans="1:9" s="20" customFormat="1" ht="63" hidden="1">
      <c r="A119" s="22" t="s">
        <v>438</v>
      </c>
      <c r="B119" s="23" t="s">
        <v>439</v>
      </c>
      <c r="C119" s="4"/>
      <c r="D119" s="24">
        <v>0</v>
      </c>
      <c r="E119" s="4"/>
      <c r="F119" s="24">
        <v>0</v>
      </c>
      <c r="G119" s="24">
        <v>0</v>
      </c>
      <c r="I119" s="46"/>
    </row>
    <row r="120" spans="1:9" s="20" customFormat="1" ht="47.25" hidden="1">
      <c r="A120" s="18" t="s">
        <v>416</v>
      </c>
      <c r="B120" s="4" t="s">
        <v>417</v>
      </c>
      <c r="C120" s="4" t="s">
        <v>440</v>
      </c>
      <c r="D120" s="17"/>
      <c r="E120" s="4" t="s">
        <v>440</v>
      </c>
      <c r="F120" s="12"/>
      <c r="G120" s="9">
        <v>0</v>
      </c>
      <c r="I120" s="46"/>
    </row>
    <row r="121" spans="1:9" s="20" customFormat="1" ht="35.25" customHeight="1">
      <c r="A121" s="22" t="s">
        <v>399</v>
      </c>
      <c r="B121" s="23" t="s">
        <v>271</v>
      </c>
      <c r="C121" s="4"/>
      <c r="D121" s="24">
        <f>D123+D125+D126+D127+D128+D129+D130+D132+D133+D134+D135+D136</f>
        <v>0</v>
      </c>
      <c r="E121" s="5"/>
      <c r="F121" s="24">
        <f>F123+F125+F126+F128+F129+F130+F131+F134+F135+F138+F139</f>
        <v>0</v>
      </c>
      <c r="G121" s="28">
        <f>D121+F121</f>
        <v>0</v>
      </c>
      <c r="H121" s="47"/>
      <c r="I121" s="46"/>
    </row>
    <row r="122" spans="1:9" s="20" customFormat="1" ht="31.5" hidden="1">
      <c r="A122" s="18" t="s">
        <v>416</v>
      </c>
      <c r="B122" s="4" t="s">
        <v>417</v>
      </c>
      <c r="C122" s="4" t="s">
        <v>430</v>
      </c>
      <c r="D122" s="17"/>
      <c r="E122" s="4"/>
      <c r="F122" s="19"/>
      <c r="G122" s="16">
        <v>0</v>
      </c>
      <c r="I122" s="46"/>
    </row>
    <row r="123" spans="1:9" s="20" customFormat="1" ht="54" customHeight="1">
      <c r="A123" s="217" t="s">
        <v>410</v>
      </c>
      <c r="B123" s="216" t="s">
        <v>411</v>
      </c>
      <c r="C123" s="61" t="s">
        <v>500</v>
      </c>
      <c r="D123" s="17">
        <v>0</v>
      </c>
      <c r="E123" s="4" t="s">
        <v>9</v>
      </c>
      <c r="F123" s="19">
        <v>0</v>
      </c>
      <c r="G123" s="12">
        <f>D123+F123</f>
        <v>0</v>
      </c>
      <c r="H123" s="47"/>
      <c r="I123" s="46"/>
    </row>
    <row r="124" spans="1:9" s="20" customFormat="1" ht="65.25" customHeight="1" hidden="1">
      <c r="A124" s="217"/>
      <c r="B124" s="216"/>
      <c r="C124" s="61" t="s">
        <v>538</v>
      </c>
      <c r="D124" s="17">
        <v>0</v>
      </c>
      <c r="E124" s="4"/>
      <c r="F124" s="19"/>
      <c r="G124" s="12">
        <f aca="true" t="shared" si="6" ref="G124:G138">D124+F124</f>
        <v>0</v>
      </c>
      <c r="I124" s="46"/>
    </row>
    <row r="125" spans="1:9" s="20" customFormat="1" ht="54" customHeight="1">
      <c r="A125" s="217" t="s">
        <v>412</v>
      </c>
      <c r="B125" s="216" t="s">
        <v>413</v>
      </c>
      <c r="C125" s="61" t="s">
        <v>501</v>
      </c>
      <c r="D125" s="17">
        <v>0</v>
      </c>
      <c r="E125" s="4" t="s">
        <v>9</v>
      </c>
      <c r="F125" s="19">
        <v>0</v>
      </c>
      <c r="G125" s="12">
        <f t="shared" si="6"/>
        <v>0</v>
      </c>
      <c r="H125" s="47"/>
      <c r="I125" s="46"/>
    </row>
    <row r="126" spans="1:9" s="20" customFormat="1" ht="47.25">
      <c r="A126" s="217"/>
      <c r="B126" s="216"/>
      <c r="C126" s="35" t="s">
        <v>518</v>
      </c>
      <c r="D126" s="36">
        <v>0</v>
      </c>
      <c r="E126" s="35" t="s">
        <v>573</v>
      </c>
      <c r="F126" s="36">
        <v>0</v>
      </c>
      <c r="G126" s="12">
        <f t="shared" si="6"/>
        <v>0</v>
      </c>
      <c r="I126" s="46"/>
    </row>
    <row r="127" spans="1:9" s="20" customFormat="1" ht="66.75" customHeight="1">
      <c r="A127" s="217"/>
      <c r="B127" s="216"/>
      <c r="C127" s="61" t="s">
        <v>538</v>
      </c>
      <c r="D127" s="19">
        <v>0</v>
      </c>
      <c r="E127" s="35"/>
      <c r="F127" s="36"/>
      <c r="G127" s="12">
        <f t="shared" si="6"/>
        <v>0</v>
      </c>
      <c r="I127" s="46"/>
    </row>
    <row r="128" spans="1:9" s="20" customFormat="1" ht="54" customHeight="1">
      <c r="A128" s="217" t="s">
        <v>420</v>
      </c>
      <c r="B128" s="216" t="s">
        <v>421</v>
      </c>
      <c r="C128" s="61" t="s">
        <v>501</v>
      </c>
      <c r="D128" s="17">
        <v>0</v>
      </c>
      <c r="E128" s="4" t="s">
        <v>9</v>
      </c>
      <c r="F128" s="19">
        <v>0</v>
      </c>
      <c r="G128" s="12">
        <f t="shared" si="6"/>
        <v>0</v>
      </c>
      <c r="H128" s="69"/>
      <c r="I128" s="46"/>
    </row>
    <row r="129" spans="1:9" s="20" customFormat="1" ht="47.25">
      <c r="A129" s="217"/>
      <c r="B129" s="216"/>
      <c r="C129" s="35" t="s">
        <v>518</v>
      </c>
      <c r="D129" s="36">
        <v>0</v>
      </c>
      <c r="E129" s="35" t="s">
        <v>573</v>
      </c>
      <c r="F129" s="36">
        <v>0</v>
      </c>
      <c r="G129" s="12">
        <f t="shared" si="6"/>
        <v>0</v>
      </c>
      <c r="I129" s="46"/>
    </row>
    <row r="130" spans="1:9" s="20" customFormat="1" ht="51" customHeight="1">
      <c r="A130" s="217" t="s">
        <v>418</v>
      </c>
      <c r="B130" s="216" t="s">
        <v>419</v>
      </c>
      <c r="C130" s="61" t="s">
        <v>501</v>
      </c>
      <c r="D130" s="17">
        <v>0</v>
      </c>
      <c r="E130" s="4" t="s">
        <v>9</v>
      </c>
      <c r="F130" s="19">
        <v>0</v>
      </c>
      <c r="G130" s="12">
        <f t="shared" si="6"/>
        <v>0</v>
      </c>
      <c r="H130" s="47"/>
      <c r="I130" s="46"/>
    </row>
    <row r="131" spans="1:9" s="20" customFormat="1" ht="31.5">
      <c r="A131" s="217"/>
      <c r="B131" s="216"/>
      <c r="C131" s="4"/>
      <c r="D131" s="17"/>
      <c r="E131" s="35" t="s">
        <v>573</v>
      </c>
      <c r="F131" s="36">
        <v>0</v>
      </c>
      <c r="G131" s="12">
        <f t="shared" si="6"/>
        <v>0</v>
      </c>
      <c r="I131" s="46"/>
    </row>
    <row r="132" spans="1:9" s="20" customFormat="1" ht="66" customHeight="1">
      <c r="A132" s="217"/>
      <c r="B132" s="216"/>
      <c r="C132" s="61" t="s">
        <v>538</v>
      </c>
      <c r="D132" s="17">
        <v>0</v>
      </c>
      <c r="E132" s="35"/>
      <c r="F132" s="36"/>
      <c r="G132" s="12">
        <f t="shared" si="6"/>
        <v>0</v>
      </c>
      <c r="I132" s="46"/>
    </row>
    <row r="133" spans="1:9" s="20" customFormat="1" ht="47.25">
      <c r="A133" s="26">
        <v>110300</v>
      </c>
      <c r="B133" s="4" t="s">
        <v>247</v>
      </c>
      <c r="C133" s="61" t="s">
        <v>502</v>
      </c>
      <c r="D133" s="21">
        <v>0</v>
      </c>
      <c r="E133" s="4"/>
      <c r="F133" s="36"/>
      <c r="G133" s="12">
        <f t="shared" si="6"/>
        <v>0</v>
      </c>
      <c r="I133" s="46"/>
    </row>
    <row r="134" spans="1:9" s="20" customFormat="1" ht="47.25">
      <c r="A134" s="215">
        <v>110502</v>
      </c>
      <c r="B134" s="216" t="s">
        <v>235</v>
      </c>
      <c r="C134" s="61" t="s">
        <v>555</v>
      </c>
      <c r="D134" s="15">
        <v>0</v>
      </c>
      <c r="E134" s="61" t="s">
        <v>555</v>
      </c>
      <c r="F134" s="16">
        <v>0</v>
      </c>
      <c r="G134" s="12">
        <f t="shared" si="6"/>
        <v>0</v>
      </c>
      <c r="H134" s="47"/>
      <c r="I134" s="46"/>
    </row>
    <row r="135" spans="1:9" s="20" customFormat="1" ht="51" customHeight="1">
      <c r="A135" s="215"/>
      <c r="B135" s="216"/>
      <c r="C135" s="61" t="s">
        <v>501</v>
      </c>
      <c r="D135" s="15">
        <v>0</v>
      </c>
      <c r="E135" s="4" t="s">
        <v>9</v>
      </c>
      <c r="F135" s="12">
        <v>0</v>
      </c>
      <c r="G135" s="12">
        <f t="shared" si="6"/>
        <v>0</v>
      </c>
      <c r="I135" s="46"/>
    </row>
    <row r="136" spans="1:9" s="20" customFormat="1" ht="55.5" customHeight="1">
      <c r="A136" s="215"/>
      <c r="B136" s="216"/>
      <c r="C136" s="61" t="s">
        <v>503</v>
      </c>
      <c r="D136" s="15">
        <v>0</v>
      </c>
      <c r="E136" s="26"/>
      <c r="F136" s="16"/>
      <c r="G136" s="12">
        <f t="shared" si="6"/>
        <v>0</v>
      </c>
      <c r="I136" s="46"/>
    </row>
    <row r="137" spans="1:9" s="20" customFormat="1" ht="68.25" customHeight="1" hidden="1">
      <c r="A137" s="215"/>
      <c r="B137" s="216"/>
      <c r="C137" s="4" t="s">
        <v>538</v>
      </c>
      <c r="D137" s="15">
        <v>0</v>
      </c>
      <c r="E137" s="4"/>
      <c r="F137" s="16"/>
      <c r="G137" s="12">
        <f t="shared" si="6"/>
        <v>0</v>
      </c>
      <c r="I137" s="46"/>
    </row>
    <row r="138" spans="1:9" s="20" customFormat="1" ht="47.25">
      <c r="A138" s="215"/>
      <c r="B138" s="216"/>
      <c r="C138" s="4"/>
      <c r="D138" s="15"/>
      <c r="E138" s="35" t="s">
        <v>518</v>
      </c>
      <c r="F138" s="36">
        <v>0</v>
      </c>
      <c r="G138" s="12">
        <f t="shared" si="6"/>
        <v>0</v>
      </c>
      <c r="I138" s="46"/>
    </row>
    <row r="139" spans="1:9" s="20" customFormat="1" ht="47.25">
      <c r="A139" s="18" t="s">
        <v>301</v>
      </c>
      <c r="B139" s="4" t="s">
        <v>302</v>
      </c>
      <c r="C139" s="4"/>
      <c r="D139" s="5"/>
      <c r="E139" s="4" t="s">
        <v>8</v>
      </c>
      <c r="F139" s="19">
        <v>0</v>
      </c>
      <c r="G139" s="12">
        <f>D139+F139</f>
        <v>0</v>
      </c>
      <c r="H139" s="47"/>
      <c r="I139" s="46"/>
    </row>
    <row r="140" spans="1:9" s="20" customFormat="1" ht="47.25" hidden="1">
      <c r="A140" s="22" t="s">
        <v>550</v>
      </c>
      <c r="B140" s="23" t="s">
        <v>551</v>
      </c>
      <c r="C140" s="4"/>
      <c r="D140" s="24">
        <v>0</v>
      </c>
      <c r="E140" s="5"/>
      <c r="F140" s="28">
        <v>0</v>
      </c>
      <c r="G140" s="27">
        <v>0</v>
      </c>
      <c r="H140" s="47"/>
      <c r="I140" s="46"/>
    </row>
    <row r="141" spans="1:9" s="20" customFormat="1" ht="47.25" hidden="1">
      <c r="A141" s="18" t="s">
        <v>416</v>
      </c>
      <c r="B141" s="4" t="s">
        <v>417</v>
      </c>
      <c r="C141" s="4"/>
      <c r="D141" s="5"/>
      <c r="E141" s="55" t="s">
        <v>523</v>
      </c>
      <c r="F141" s="56">
        <v>0</v>
      </c>
      <c r="G141" s="9">
        <v>0</v>
      </c>
      <c r="H141" s="47"/>
      <c r="I141" s="46"/>
    </row>
    <row r="142" spans="1:9" s="20" customFormat="1" ht="54" customHeight="1">
      <c r="A142" s="22" t="s">
        <v>398</v>
      </c>
      <c r="B142" s="23" t="s">
        <v>424</v>
      </c>
      <c r="C142" s="4"/>
      <c r="D142" s="24">
        <f>D143+D144+D145+D146</f>
        <v>0</v>
      </c>
      <c r="E142" s="5"/>
      <c r="F142" s="28">
        <f>F143+F144</f>
        <v>0</v>
      </c>
      <c r="G142" s="28">
        <f aca="true" t="shared" si="7" ref="G142:G150">D142+F142</f>
        <v>0</v>
      </c>
      <c r="H142" s="47"/>
      <c r="I142" s="46"/>
    </row>
    <row r="143" spans="1:9" s="20" customFormat="1" ht="47.25">
      <c r="A143" s="18" t="s">
        <v>416</v>
      </c>
      <c r="B143" s="4" t="s">
        <v>417</v>
      </c>
      <c r="C143" s="4"/>
      <c r="D143" s="17"/>
      <c r="E143" s="61" t="s">
        <v>523</v>
      </c>
      <c r="F143" s="19">
        <v>0</v>
      </c>
      <c r="G143" s="19">
        <f t="shared" si="7"/>
        <v>0</v>
      </c>
      <c r="I143" s="46"/>
    </row>
    <row r="144" spans="1:9" s="20" customFormat="1" ht="47.25">
      <c r="A144" s="18" t="s">
        <v>301</v>
      </c>
      <c r="B144" s="4" t="s">
        <v>302</v>
      </c>
      <c r="C144" s="4"/>
      <c r="D144" s="5"/>
      <c r="E144" s="4" t="s">
        <v>10</v>
      </c>
      <c r="F144" s="19">
        <v>0</v>
      </c>
      <c r="G144" s="19">
        <f t="shared" si="7"/>
        <v>0</v>
      </c>
      <c r="I144" s="46"/>
    </row>
    <row r="145" spans="1:9" s="20" customFormat="1" ht="31.5" customHeight="1">
      <c r="A145" s="18" t="s">
        <v>294</v>
      </c>
      <c r="B145" s="4" t="s">
        <v>309</v>
      </c>
      <c r="C145" s="61" t="s">
        <v>504</v>
      </c>
      <c r="D145" s="17">
        <v>0</v>
      </c>
      <c r="E145" s="4"/>
      <c r="F145" s="9"/>
      <c r="G145" s="19">
        <f t="shared" si="7"/>
        <v>0</v>
      </c>
      <c r="I145" s="46"/>
    </row>
    <row r="146" spans="1:9" s="20" customFormat="1" ht="47.25">
      <c r="A146" s="18" t="s">
        <v>319</v>
      </c>
      <c r="B146" s="4" t="s">
        <v>472</v>
      </c>
      <c r="C146" s="4" t="s">
        <v>11</v>
      </c>
      <c r="D146" s="17">
        <v>0</v>
      </c>
      <c r="E146" s="4"/>
      <c r="F146" s="9"/>
      <c r="G146" s="19">
        <f t="shared" si="7"/>
        <v>0</v>
      </c>
      <c r="I146" s="46"/>
    </row>
    <row r="147" spans="1:9" s="20" customFormat="1" ht="47.25">
      <c r="A147" s="22" t="s">
        <v>433</v>
      </c>
      <c r="B147" s="23" t="s">
        <v>434</v>
      </c>
      <c r="C147" s="4"/>
      <c r="D147" s="24">
        <f>D148</f>
        <v>0</v>
      </c>
      <c r="E147" s="5"/>
      <c r="F147" s="24">
        <f>F148</f>
        <v>0</v>
      </c>
      <c r="G147" s="24">
        <f t="shared" si="7"/>
        <v>0</v>
      </c>
      <c r="H147" s="47"/>
      <c r="I147" s="46"/>
    </row>
    <row r="148" spans="1:9" s="20" customFormat="1" ht="48.75" customHeight="1">
      <c r="A148" s="18" t="s">
        <v>416</v>
      </c>
      <c r="B148" s="4" t="s">
        <v>417</v>
      </c>
      <c r="C148" s="4"/>
      <c r="D148" s="17"/>
      <c r="E148" s="4" t="s">
        <v>523</v>
      </c>
      <c r="F148" s="19">
        <v>0</v>
      </c>
      <c r="G148" s="24">
        <f t="shared" si="7"/>
        <v>0</v>
      </c>
      <c r="I148" s="46"/>
    </row>
    <row r="149" spans="1:9" s="20" customFormat="1" ht="45.75" customHeight="1">
      <c r="A149" s="22" t="s">
        <v>396</v>
      </c>
      <c r="B149" s="23" t="s">
        <v>479</v>
      </c>
      <c r="C149" s="4"/>
      <c r="D149" s="24">
        <f>D151+D152+D153+D154+D159+D160+D172</f>
        <v>0</v>
      </c>
      <c r="E149" s="5"/>
      <c r="F149" s="28">
        <f>F150+F151+F152+F153+F154+F155+F157+F158+F159+F160+F162+F163+F165+F166+F167+F169+F170+F171+F172</f>
        <v>0</v>
      </c>
      <c r="G149" s="28">
        <f t="shared" si="7"/>
        <v>0</v>
      </c>
      <c r="H149" s="47"/>
      <c r="I149" s="46"/>
    </row>
    <row r="150" spans="1:9" s="20" customFormat="1" ht="45.75" customHeight="1">
      <c r="A150" s="217" t="s">
        <v>416</v>
      </c>
      <c r="B150" s="216" t="s">
        <v>417</v>
      </c>
      <c r="C150" s="4"/>
      <c r="D150" s="24"/>
      <c r="E150" s="61" t="s">
        <v>523</v>
      </c>
      <c r="F150" s="19"/>
      <c r="G150" s="19">
        <f t="shared" si="7"/>
        <v>0</v>
      </c>
      <c r="H150" s="47"/>
      <c r="I150" s="46"/>
    </row>
    <row r="151" spans="1:9" s="20" customFormat="1" ht="61.5" customHeight="1">
      <c r="A151" s="217"/>
      <c r="B151" s="216"/>
      <c r="C151" s="61" t="s">
        <v>538</v>
      </c>
      <c r="D151" s="17">
        <v>0</v>
      </c>
      <c r="E151" s="4"/>
      <c r="F151" s="19"/>
      <c r="G151" s="19">
        <f aca="true" t="shared" si="8" ref="G151:G172">D151+F151</f>
        <v>0</v>
      </c>
      <c r="I151" s="46"/>
    </row>
    <row r="152" spans="1:9" s="20" customFormat="1" ht="47.25">
      <c r="A152" s="18" t="s">
        <v>303</v>
      </c>
      <c r="B152" s="4" t="s">
        <v>310</v>
      </c>
      <c r="C152" s="61" t="s">
        <v>526</v>
      </c>
      <c r="D152" s="17">
        <v>0</v>
      </c>
      <c r="E152" s="4"/>
      <c r="F152" s="9"/>
      <c r="G152" s="19">
        <f t="shared" si="8"/>
        <v>0</v>
      </c>
      <c r="I152" s="46"/>
    </row>
    <row r="153" spans="1:9" s="20" customFormat="1" ht="47.25">
      <c r="A153" s="217" t="s">
        <v>470</v>
      </c>
      <c r="B153" s="216" t="s">
        <v>471</v>
      </c>
      <c r="C153" s="61" t="s">
        <v>526</v>
      </c>
      <c r="D153" s="17">
        <v>0</v>
      </c>
      <c r="E153" s="4"/>
      <c r="F153" s="9"/>
      <c r="G153" s="19">
        <f t="shared" si="8"/>
        <v>0</v>
      </c>
      <c r="I153" s="46"/>
    </row>
    <row r="154" spans="1:9" s="20" customFormat="1" ht="47.25">
      <c r="A154" s="217"/>
      <c r="B154" s="216"/>
      <c r="C154" s="61" t="s">
        <v>518</v>
      </c>
      <c r="D154" s="37">
        <v>0</v>
      </c>
      <c r="E154" s="4"/>
      <c r="F154" s="9"/>
      <c r="G154" s="19">
        <f t="shared" si="8"/>
        <v>0</v>
      </c>
      <c r="I154" s="46"/>
    </row>
    <row r="155" spans="1:9" s="20" customFormat="1" ht="47.25">
      <c r="A155" s="217" t="s">
        <v>331</v>
      </c>
      <c r="B155" s="216" t="s">
        <v>332</v>
      </c>
      <c r="C155" s="4"/>
      <c r="D155" s="17"/>
      <c r="E155" s="4" t="s">
        <v>485</v>
      </c>
      <c r="F155" s="19">
        <v>0</v>
      </c>
      <c r="G155" s="19">
        <f t="shared" si="8"/>
        <v>0</v>
      </c>
      <c r="I155" s="46"/>
    </row>
    <row r="156" spans="1:9" s="20" customFormat="1" ht="47.25" customHeight="1" hidden="1">
      <c r="A156" s="217"/>
      <c r="B156" s="216"/>
      <c r="C156" s="4" t="s">
        <v>480</v>
      </c>
      <c r="D156" s="17">
        <v>0</v>
      </c>
      <c r="E156" s="4" t="s">
        <v>485</v>
      </c>
      <c r="F156" s="9"/>
      <c r="G156" s="19">
        <f t="shared" si="8"/>
        <v>0</v>
      </c>
      <c r="I156" s="46"/>
    </row>
    <row r="157" spans="1:9" s="20" customFormat="1" ht="47.25">
      <c r="A157" s="217"/>
      <c r="B157" s="216"/>
      <c r="C157" s="4"/>
      <c r="D157" s="17"/>
      <c r="E157" s="61" t="s">
        <v>518</v>
      </c>
      <c r="F157" s="37">
        <v>0</v>
      </c>
      <c r="G157" s="19">
        <f t="shared" si="8"/>
        <v>0</v>
      </c>
      <c r="I157" s="46"/>
    </row>
    <row r="158" spans="1:9" s="20" customFormat="1" ht="56.25" customHeight="1">
      <c r="A158" s="18" t="s">
        <v>514</v>
      </c>
      <c r="B158" s="4" t="s">
        <v>515</v>
      </c>
      <c r="C158" s="4"/>
      <c r="D158" s="17"/>
      <c r="E158" s="4" t="s">
        <v>485</v>
      </c>
      <c r="F158" s="19">
        <v>0</v>
      </c>
      <c r="G158" s="19">
        <f t="shared" si="8"/>
        <v>0</v>
      </c>
      <c r="I158" s="46"/>
    </row>
    <row r="159" spans="1:9" s="20" customFormat="1" ht="51.75" customHeight="1">
      <c r="A159" s="217" t="s">
        <v>311</v>
      </c>
      <c r="B159" s="216" t="s">
        <v>333</v>
      </c>
      <c r="C159" s="61" t="s">
        <v>526</v>
      </c>
      <c r="D159" s="62">
        <v>0</v>
      </c>
      <c r="E159" s="4" t="s">
        <v>485</v>
      </c>
      <c r="F159" s="19">
        <v>0</v>
      </c>
      <c r="G159" s="19">
        <f t="shared" si="8"/>
        <v>0</v>
      </c>
      <c r="I159" s="46"/>
    </row>
    <row r="160" spans="1:9" s="20" customFormat="1" ht="47.25">
      <c r="A160" s="217"/>
      <c r="B160" s="216"/>
      <c r="C160" s="61" t="s">
        <v>518</v>
      </c>
      <c r="D160" s="37">
        <v>0</v>
      </c>
      <c r="E160" s="35" t="s">
        <v>573</v>
      </c>
      <c r="F160" s="37">
        <v>0</v>
      </c>
      <c r="G160" s="19">
        <f t="shared" si="8"/>
        <v>0</v>
      </c>
      <c r="I160" s="46"/>
    </row>
    <row r="161" spans="1:9" s="20" customFormat="1" ht="47.25" hidden="1">
      <c r="A161" s="18" t="s">
        <v>543</v>
      </c>
      <c r="B161" s="4" t="s">
        <v>544</v>
      </c>
      <c r="C161" s="35"/>
      <c r="D161" s="37"/>
      <c r="E161" s="4" t="s">
        <v>526</v>
      </c>
      <c r="F161" s="36">
        <v>0</v>
      </c>
      <c r="G161" s="19">
        <f t="shared" si="8"/>
        <v>0</v>
      </c>
      <c r="I161" s="46"/>
    </row>
    <row r="162" spans="1:9" s="20" customFormat="1" ht="51" customHeight="1">
      <c r="A162" s="217" t="s">
        <v>301</v>
      </c>
      <c r="B162" s="216" t="s">
        <v>302</v>
      </c>
      <c r="C162" s="4"/>
      <c r="D162" s="5"/>
      <c r="E162" s="4" t="s">
        <v>485</v>
      </c>
      <c r="F162" s="12">
        <v>0</v>
      </c>
      <c r="G162" s="19">
        <f t="shared" si="8"/>
        <v>0</v>
      </c>
      <c r="I162" s="46"/>
    </row>
    <row r="163" spans="1:9" s="20" customFormat="1" ht="31.5">
      <c r="A163" s="217"/>
      <c r="B163" s="216"/>
      <c r="C163" s="4"/>
      <c r="D163" s="5"/>
      <c r="E163" s="35" t="s">
        <v>573</v>
      </c>
      <c r="F163" s="37">
        <v>0</v>
      </c>
      <c r="G163" s="19">
        <f t="shared" si="8"/>
        <v>0</v>
      </c>
      <c r="I163" s="46"/>
    </row>
    <row r="164" spans="1:9" s="51" customFormat="1" ht="46.5" customHeight="1" hidden="1">
      <c r="A164" s="221" t="s">
        <v>256</v>
      </c>
      <c r="B164" s="219" t="s">
        <v>455</v>
      </c>
      <c r="C164" s="4"/>
      <c r="D164" s="5"/>
      <c r="E164" s="4" t="s">
        <v>526</v>
      </c>
      <c r="F164" s="19">
        <v>0</v>
      </c>
      <c r="G164" s="19">
        <f t="shared" si="8"/>
        <v>0</v>
      </c>
      <c r="H164" s="20"/>
      <c r="I164" s="52"/>
    </row>
    <row r="165" spans="1:9" s="51" customFormat="1" ht="69.75" customHeight="1">
      <c r="A165" s="223"/>
      <c r="B165" s="279"/>
      <c r="C165" s="4"/>
      <c r="D165" s="5"/>
      <c r="E165" s="4" t="s">
        <v>12</v>
      </c>
      <c r="F165" s="19">
        <v>0</v>
      </c>
      <c r="G165" s="19">
        <f t="shared" si="8"/>
        <v>0</v>
      </c>
      <c r="H165" s="20"/>
      <c r="I165" s="52"/>
    </row>
    <row r="166" spans="1:9" s="51" customFormat="1" ht="87" customHeight="1">
      <c r="A166" s="222"/>
      <c r="B166" s="220"/>
      <c r="C166" s="4"/>
      <c r="D166" s="5"/>
      <c r="E166" s="4" t="s">
        <v>13</v>
      </c>
      <c r="F166" s="19">
        <v>0</v>
      </c>
      <c r="G166" s="19">
        <f t="shared" si="8"/>
        <v>0</v>
      </c>
      <c r="H166" s="20"/>
      <c r="I166" s="52"/>
    </row>
    <row r="167" spans="1:9" s="20" customFormat="1" ht="69.75" customHeight="1">
      <c r="A167" s="18" t="s">
        <v>313</v>
      </c>
      <c r="B167" s="4" t="s">
        <v>314</v>
      </c>
      <c r="C167" s="4"/>
      <c r="D167" s="5"/>
      <c r="E167" s="61" t="s">
        <v>526</v>
      </c>
      <c r="F167" s="19">
        <v>0</v>
      </c>
      <c r="G167" s="19">
        <f t="shared" si="8"/>
        <v>0</v>
      </c>
      <c r="I167" s="46"/>
    </row>
    <row r="168" spans="1:9" s="20" customFormat="1" ht="27.75" customHeight="1" hidden="1">
      <c r="A168" s="4">
        <v>180107</v>
      </c>
      <c r="B168" s="4" t="s">
        <v>467</v>
      </c>
      <c r="C168" s="4"/>
      <c r="D168" s="17"/>
      <c r="E168" s="4" t="s">
        <v>485</v>
      </c>
      <c r="F168" s="19">
        <v>0</v>
      </c>
      <c r="G168" s="19">
        <f t="shared" si="8"/>
        <v>0</v>
      </c>
      <c r="I168" s="46"/>
    </row>
    <row r="169" spans="1:9" s="20" customFormat="1" ht="63" customHeight="1">
      <c r="A169" s="216">
        <v>180409</v>
      </c>
      <c r="B169" s="216" t="s">
        <v>478</v>
      </c>
      <c r="C169" s="4"/>
      <c r="D169" s="17"/>
      <c r="E169" s="4" t="s">
        <v>485</v>
      </c>
      <c r="F169" s="19">
        <v>0</v>
      </c>
      <c r="G169" s="19">
        <f t="shared" si="8"/>
        <v>0</v>
      </c>
      <c r="I169" s="46"/>
    </row>
    <row r="170" spans="1:9" s="20" customFormat="1" ht="47.25">
      <c r="A170" s="216"/>
      <c r="B170" s="216"/>
      <c r="C170" s="4"/>
      <c r="D170" s="17"/>
      <c r="E170" s="4" t="s">
        <v>14</v>
      </c>
      <c r="F170" s="19">
        <v>0</v>
      </c>
      <c r="G170" s="19">
        <f t="shared" si="8"/>
        <v>0</v>
      </c>
      <c r="I170" s="46"/>
    </row>
    <row r="171" spans="1:9" s="20" customFormat="1" ht="47.25">
      <c r="A171" s="18" t="s">
        <v>246</v>
      </c>
      <c r="B171" s="4" t="s">
        <v>323</v>
      </c>
      <c r="C171" s="4"/>
      <c r="D171" s="5"/>
      <c r="E171" s="4" t="s">
        <v>4</v>
      </c>
      <c r="F171" s="19">
        <v>0</v>
      </c>
      <c r="G171" s="19">
        <f t="shared" si="8"/>
        <v>0</v>
      </c>
      <c r="I171" s="46"/>
    </row>
    <row r="172" spans="1:9" s="20" customFormat="1" ht="45.75" customHeight="1">
      <c r="A172" s="18" t="s">
        <v>294</v>
      </c>
      <c r="B172" s="4" t="s">
        <v>309</v>
      </c>
      <c r="C172" s="61" t="s">
        <v>526</v>
      </c>
      <c r="D172" s="17">
        <v>0</v>
      </c>
      <c r="E172" s="4" t="s">
        <v>485</v>
      </c>
      <c r="F172" s="12">
        <v>0</v>
      </c>
      <c r="G172" s="19">
        <f t="shared" si="8"/>
        <v>0</v>
      </c>
      <c r="I172" s="46"/>
    </row>
    <row r="173" spans="1:9" s="20" customFormat="1" ht="38.25" hidden="1">
      <c r="A173" s="18" t="s">
        <v>256</v>
      </c>
      <c r="B173" s="29" t="s">
        <v>455</v>
      </c>
      <c r="C173" s="4"/>
      <c r="D173" s="5"/>
      <c r="E173" s="4" t="s">
        <v>463</v>
      </c>
      <c r="F173" s="12">
        <v>0</v>
      </c>
      <c r="G173" s="9">
        <v>0</v>
      </c>
      <c r="I173" s="46"/>
    </row>
    <row r="174" spans="1:9" s="20" customFormat="1" ht="70.5" customHeight="1" hidden="1">
      <c r="A174" s="22" t="s">
        <v>477</v>
      </c>
      <c r="B174" s="23" t="s">
        <v>476</v>
      </c>
      <c r="C174" s="23"/>
      <c r="D174" s="24">
        <v>0</v>
      </c>
      <c r="E174" s="23"/>
      <c r="F174" s="30"/>
      <c r="G174" s="27">
        <v>0</v>
      </c>
      <c r="I174" s="46"/>
    </row>
    <row r="175" spans="1:9" s="20" customFormat="1" ht="36" customHeight="1" hidden="1">
      <c r="A175" s="18" t="s">
        <v>303</v>
      </c>
      <c r="B175" s="4" t="s">
        <v>310</v>
      </c>
      <c r="C175" s="4" t="s">
        <v>335</v>
      </c>
      <c r="D175" s="17">
        <v>0</v>
      </c>
      <c r="E175" s="4"/>
      <c r="F175" s="12"/>
      <c r="G175" s="9">
        <v>0</v>
      </c>
      <c r="I175" s="46"/>
    </row>
    <row r="176" spans="1:9" s="20" customFormat="1" ht="47.25" customHeight="1" hidden="1">
      <c r="A176" s="18" t="s">
        <v>311</v>
      </c>
      <c r="B176" s="4" t="s">
        <v>333</v>
      </c>
      <c r="C176" s="4" t="s">
        <v>453</v>
      </c>
      <c r="D176" s="17">
        <v>0</v>
      </c>
      <c r="E176" s="4"/>
      <c r="F176" s="12"/>
      <c r="G176" s="9">
        <v>0</v>
      </c>
      <c r="I176" s="46"/>
    </row>
    <row r="177" spans="1:9" s="20" customFormat="1" ht="47.25">
      <c r="A177" s="22" t="s">
        <v>397</v>
      </c>
      <c r="B177" s="23" t="s">
        <v>270</v>
      </c>
      <c r="C177" s="4"/>
      <c r="D177" s="24">
        <f>D179</f>
        <v>0</v>
      </c>
      <c r="E177" s="5"/>
      <c r="F177" s="24">
        <f>F178</f>
        <v>0</v>
      </c>
      <c r="G177" s="28">
        <f aca="true" t="shared" si="9" ref="G177:G184">D177+F177</f>
        <v>0</v>
      </c>
      <c r="H177" s="47"/>
      <c r="I177" s="46"/>
    </row>
    <row r="178" spans="1:9" s="20" customFormat="1" ht="48" customHeight="1">
      <c r="A178" s="18" t="s">
        <v>416</v>
      </c>
      <c r="B178" s="4" t="s">
        <v>417</v>
      </c>
      <c r="C178" s="4"/>
      <c r="D178" s="17"/>
      <c r="E178" s="4" t="s">
        <v>571</v>
      </c>
      <c r="F178" s="19">
        <v>0</v>
      </c>
      <c r="G178" s="19">
        <f t="shared" si="9"/>
        <v>0</v>
      </c>
      <c r="I178" s="46"/>
    </row>
    <row r="179" spans="1:9" s="20" customFormat="1" ht="63">
      <c r="A179" s="18" t="s">
        <v>294</v>
      </c>
      <c r="B179" s="4" t="s">
        <v>309</v>
      </c>
      <c r="C179" s="61" t="s">
        <v>538</v>
      </c>
      <c r="D179" s="17">
        <v>0</v>
      </c>
      <c r="E179" s="4"/>
      <c r="F179" s="9"/>
      <c r="G179" s="19">
        <f t="shared" si="9"/>
        <v>0</v>
      </c>
      <c r="I179" s="46"/>
    </row>
    <row r="180" spans="1:9" s="20" customFormat="1" ht="47.25">
      <c r="A180" s="22" t="s">
        <v>401</v>
      </c>
      <c r="B180" s="23" t="s">
        <v>272</v>
      </c>
      <c r="C180" s="4"/>
      <c r="D180" s="24">
        <f>D181+D182+D183+D184</f>
        <v>0</v>
      </c>
      <c r="E180" s="5"/>
      <c r="F180" s="28">
        <f>F181</f>
        <v>0</v>
      </c>
      <c r="G180" s="28">
        <f t="shared" si="9"/>
        <v>0</v>
      </c>
      <c r="I180" s="46"/>
    </row>
    <row r="181" spans="1:9" s="20" customFormat="1" ht="60" customHeight="1">
      <c r="A181" s="18" t="s">
        <v>416</v>
      </c>
      <c r="B181" s="4" t="s">
        <v>417</v>
      </c>
      <c r="C181" s="4"/>
      <c r="D181" s="17"/>
      <c r="E181" s="4" t="s">
        <v>523</v>
      </c>
      <c r="F181" s="19">
        <v>0</v>
      </c>
      <c r="G181" s="19">
        <f t="shared" si="9"/>
        <v>0</v>
      </c>
      <c r="I181" s="46"/>
    </row>
    <row r="182" spans="1:9" s="20" customFormat="1" ht="63">
      <c r="A182" s="215">
        <v>250404</v>
      </c>
      <c r="B182" s="215" t="s">
        <v>309</v>
      </c>
      <c r="C182" s="4" t="s">
        <v>547</v>
      </c>
      <c r="D182" s="21">
        <v>0</v>
      </c>
      <c r="E182" s="9"/>
      <c r="F182" s="31"/>
      <c r="G182" s="19">
        <f t="shared" si="9"/>
        <v>0</v>
      </c>
      <c r="I182" s="46"/>
    </row>
    <row r="183" spans="1:9" s="20" customFormat="1" ht="51" customHeight="1">
      <c r="A183" s="215"/>
      <c r="B183" s="215"/>
      <c r="C183" s="4" t="s">
        <v>565</v>
      </c>
      <c r="D183" s="21">
        <v>0</v>
      </c>
      <c r="E183" s="9"/>
      <c r="F183" s="31"/>
      <c r="G183" s="19">
        <f t="shared" si="9"/>
        <v>0</v>
      </c>
      <c r="I183" s="46"/>
    </row>
    <row r="184" spans="1:9" s="20" customFormat="1" ht="66" customHeight="1">
      <c r="A184" s="282"/>
      <c r="B184" s="215"/>
      <c r="C184" s="4" t="s">
        <v>566</v>
      </c>
      <c r="D184" s="21">
        <v>0</v>
      </c>
      <c r="E184" s="4"/>
      <c r="F184" s="9"/>
      <c r="G184" s="19">
        <f t="shared" si="9"/>
        <v>0</v>
      </c>
      <c r="I184" s="46"/>
    </row>
    <row r="185" spans="1:9" s="20" customFormat="1" ht="31.5" hidden="1">
      <c r="A185" s="22">
        <v>50</v>
      </c>
      <c r="B185" s="23" t="s">
        <v>437</v>
      </c>
      <c r="C185" s="4"/>
      <c r="D185" s="24">
        <v>0</v>
      </c>
      <c r="E185" s="5"/>
      <c r="F185" s="27">
        <v>0</v>
      </c>
      <c r="G185" s="27">
        <v>0</v>
      </c>
      <c r="I185" s="46"/>
    </row>
    <row r="186" spans="1:9" s="20" customFormat="1" ht="48.75" customHeight="1" hidden="1">
      <c r="A186" s="18" t="s">
        <v>416</v>
      </c>
      <c r="B186" s="4" t="s">
        <v>417</v>
      </c>
      <c r="C186" s="4" t="s">
        <v>429</v>
      </c>
      <c r="D186" s="21"/>
      <c r="E186" s="4"/>
      <c r="F186" s="9"/>
      <c r="G186" s="9">
        <v>0</v>
      </c>
      <c r="I186" s="46"/>
    </row>
    <row r="187" spans="1:9" s="20" customFormat="1" ht="47.25">
      <c r="A187" s="22" t="s">
        <v>405</v>
      </c>
      <c r="B187" s="23" t="s">
        <v>276</v>
      </c>
      <c r="C187" s="23"/>
      <c r="D187" s="24">
        <v>0</v>
      </c>
      <c r="E187" s="32"/>
      <c r="F187" s="24">
        <f>F188+F189</f>
        <v>0</v>
      </c>
      <c r="G187" s="24">
        <f aca="true" t="shared" si="10" ref="G187:G195">D187+F187</f>
        <v>0</v>
      </c>
      <c r="H187" s="47"/>
      <c r="I187" s="46"/>
    </row>
    <row r="188" spans="1:9" s="20" customFormat="1" ht="47.25">
      <c r="A188" s="18" t="s">
        <v>416</v>
      </c>
      <c r="B188" s="4" t="s">
        <v>417</v>
      </c>
      <c r="C188" s="4"/>
      <c r="D188" s="17"/>
      <c r="E188" s="4" t="s">
        <v>556</v>
      </c>
      <c r="F188" s="17">
        <v>0</v>
      </c>
      <c r="G188" s="17">
        <f t="shared" si="10"/>
        <v>0</v>
      </c>
      <c r="I188" s="46"/>
    </row>
    <row r="189" spans="1:9" s="20" customFormat="1" ht="47.25">
      <c r="A189" s="18" t="s">
        <v>258</v>
      </c>
      <c r="B189" s="4" t="s">
        <v>259</v>
      </c>
      <c r="C189" s="4"/>
      <c r="D189" s="17"/>
      <c r="E189" s="4" t="s">
        <v>557</v>
      </c>
      <c r="F189" s="19">
        <v>0</v>
      </c>
      <c r="G189" s="17">
        <f t="shared" si="10"/>
        <v>0</v>
      </c>
      <c r="I189" s="46"/>
    </row>
    <row r="190" spans="1:9" s="20" customFormat="1" ht="50.25" customHeight="1">
      <c r="A190" s="22" t="s">
        <v>402</v>
      </c>
      <c r="B190" s="23" t="s">
        <v>273</v>
      </c>
      <c r="C190" s="4"/>
      <c r="D190" s="24">
        <f>D194</f>
        <v>0</v>
      </c>
      <c r="E190" s="5"/>
      <c r="F190" s="24">
        <f>F192+F193</f>
        <v>0</v>
      </c>
      <c r="G190" s="24">
        <f t="shared" si="10"/>
        <v>0</v>
      </c>
      <c r="H190" s="47"/>
      <c r="I190" s="46"/>
    </row>
    <row r="191" spans="1:9" s="20" customFormat="1" ht="33" customHeight="1" hidden="1">
      <c r="A191" s="18" t="s">
        <v>416</v>
      </c>
      <c r="B191" s="4" t="s">
        <v>417</v>
      </c>
      <c r="C191" s="4" t="s">
        <v>432</v>
      </c>
      <c r="D191" s="17"/>
      <c r="E191" s="4"/>
      <c r="F191" s="19"/>
      <c r="G191" s="24">
        <f t="shared" si="10"/>
        <v>0</v>
      </c>
      <c r="I191" s="46"/>
    </row>
    <row r="192" spans="1:9" s="20" customFormat="1" ht="47.25">
      <c r="A192" s="4">
        <v>240601</v>
      </c>
      <c r="B192" s="4" t="s">
        <v>323</v>
      </c>
      <c r="C192" s="4"/>
      <c r="D192" s="5"/>
      <c r="E192" s="4" t="s">
        <v>546</v>
      </c>
      <c r="F192" s="19">
        <v>0</v>
      </c>
      <c r="G192" s="17">
        <f t="shared" si="10"/>
        <v>0</v>
      </c>
      <c r="I192" s="46"/>
    </row>
    <row r="193" spans="1:9" s="20" customFormat="1" ht="72" customHeight="1">
      <c r="A193" s="4">
        <v>240900</v>
      </c>
      <c r="B193" s="4" t="s">
        <v>475</v>
      </c>
      <c r="C193" s="4"/>
      <c r="D193" s="5"/>
      <c r="E193" s="4" t="s">
        <v>536</v>
      </c>
      <c r="F193" s="19">
        <v>0</v>
      </c>
      <c r="G193" s="17">
        <f t="shared" si="10"/>
        <v>0</v>
      </c>
      <c r="I193" s="46"/>
    </row>
    <row r="194" spans="1:9" s="20" customFormat="1" ht="54" customHeight="1">
      <c r="A194" s="4">
        <v>250404</v>
      </c>
      <c r="B194" s="4" t="s">
        <v>464</v>
      </c>
      <c r="C194" s="4" t="s">
        <v>564</v>
      </c>
      <c r="D194" s="17">
        <v>0</v>
      </c>
      <c r="E194" s="4"/>
      <c r="F194" s="19"/>
      <c r="G194" s="17">
        <f t="shared" si="10"/>
        <v>0</v>
      </c>
      <c r="I194" s="46"/>
    </row>
    <row r="195" spans="1:9" s="20" customFormat="1" ht="47.25">
      <c r="A195" s="22" t="s">
        <v>400</v>
      </c>
      <c r="B195" s="23" t="s">
        <v>274</v>
      </c>
      <c r="C195" s="4"/>
      <c r="D195" s="24">
        <f>D197+D198+D204+D206</f>
        <v>0</v>
      </c>
      <c r="E195" s="5"/>
      <c r="F195" s="24">
        <f>F200+F201+F202+F204+F206</f>
        <v>0</v>
      </c>
      <c r="G195" s="24">
        <f t="shared" si="10"/>
        <v>0</v>
      </c>
      <c r="H195" s="47"/>
      <c r="I195" s="46"/>
    </row>
    <row r="196" spans="1:9" s="20" customFormat="1" ht="69" customHeight="1" hidden="1">
      <c r="A196" s="18" t="s">
        <v>416</v>
      </c>
      <c r="B196" s="4" t="s">
        <v>417</v>
      </c>
      <c r="C196" s="4" t="s">
        <v>435</v>
      </c>
      <c r="D196" s="17"/>
      <c r="E196" s="5"/>
      <c r="F196" s="9"/>
      <c r="G196" s="24">
        <f aca="true" t="shared" si="11" ref="G196:G206">D196+F196</f>
        <v>0</v>
      </c>
      <c r="I196" s="46"/>
    </row>
    <row r="197" spans="1:9" s="20" customFormat="1" ht="84.75" customHeight="1">
      <c r="A197" s="18" t="s">
        <v>248</v>
      </c>
      <c r="B197" s="4" t="s">
        <v>249</v>
      </c>
      <c r="C197" s="4" t="s">
        <v>552</v>
      </c>
      <c r="D197" s="17">
        <v>0</v>
      </c>
      <c r="E197" s="4"/>
      <c r="F197" s="19"/>
      <c r="G197" s="17">
        <f t="shared" si="11"/>
        <v>0</v>
      </c>
      <c r="I197" s="46"/>
    </row>
    <row r="198" spans="1:9" s="20" customFormat="1" ht="72.75" customHeight="1">
      <c r="A198" s="18" t="s">
        <v>299</v>
      </c>
      <c r="B198" s="4" t="s">
        <v>300</v>
      </c>
      <c r="C198" s="4" t="s">
        <v>506</v>
      </c>
      <c r="D198" s="17">
        <v>0</v>
      </c>
      <c r="E198" s="4"/>
      <c r="F198" s="9"/>
      <c r="G198" s="17">
        <f t="shared" si="11"/>
        <v>0</v>
      </c>
      <c r="I198" s="46"/>
    </row>
    <row r="199" spans="1:9" s="20" customFormat="1" ht="78.75" hidden="1">
      <c r="A199" s="221" t="s">
        <v>301</v>
      </c>
      <c r="B199" s="219" t="s">
        <v>302</v>
      </c>
      <c r="C199" s="4"/>
      <c r="D199" s="17"/>
      <c r="E199" s="4" t="s">
        <v>506</v>
      </c>
      <c r="F199" s="19">
        <v>0</v>
      </c>
      <c r="G199" s="24">
        <f t="shared" si="11"/>
        <v>0</v>
      </c>
      <c r="I199" s="46"/>
    </row>
    <row r="200" spans="1:9" s="20" customFormat="1" ht="63">
      <c r="A200" s="222"/>
      <c r="B200" s="220"/>
      <c r="C200" s="4"/>
      <c r="D200" s="17"/>
      <c r="E200" s="4" t="s">
        <v>524</v>
      </c>
      <c r="F200" s="19">
        <v>0</v>
      </c>
      <c r="G200" s="17">
        <f t="shared" si="11"/>
        <v>0</v>
      </c>
      <c r="I200" s="46"/>
    </row>
    <row r="201" spans="1:9" s="20" customFormat="1" ht="62.25" customHeight="1">
      <c r="A201" s="217" t="s">
        <v>315</v>
      </c>
      <c r="B201" s="216" t="s">
        <v>478</v>
      </c>
      <c r="C201" s="216"/>
      <c r="D201" s="17"/>
      <c r="E201" s="4" t="s">
        <v>506</v>
      </c>
      <c r="F201" s="19">
        <v>0</v>
      </c>
      <c r="G201" s="17">
        <f t="shared" si="11"/>
        <v>0</v>
      </c>
      <c r="I201" s="46"/>
    </row>
    <row r="202" spans="1:9" s="20" customFormat="1" ht="63">
      <c r="A202" s="217"/>
      <c r="B202" s="216"/>
      <c r="C202" s="216"/>
      <c r="D202" s="283"/>
      <c r="E202" s="4" t="s">
        <v>537</v>
      </c>
      <c r="F202" s="19">
        <v>0</v>
      </c>
      <c r="G202" s="17">
        <f t="shared" si="11"/>
        <v>0</v>
      </c>
      <c r="I202" s="46"/>
    </row>
    <row r="203" spans="1:9" s="20" customFormat="1" ht="47.25" hidden="1">
      <c r="A203" s="217"/>
      <c r="B203" s="216"/>
      <c r="C203" s="216"/>
      <c r="D203" s="283"/>
      <c r="E203" s="4" t="s">
        <v>560</v>
      </c>
      <c r="F203" s="9">
        <v>0</v>
      </c>
      <c r="G203" s="17">
        <f t="shared" si="11"/>
        <v>0</v>
      </c>
      <c r="I203" s="46"/>
    </row>
    <row r="204" spans="1:9" s="20" customFormat="1" ht="69" customHeight="1">
      <c r="A204" s="18" t="s">
        <v>468</v>
      </c>
      <c r="B204" s="4" t="s">
        <v>469</v>
      </c>
      <c r="C204" s="4" t="s">
        <v>506</v>
      </c>
      <c r="D204" s="17">
        <v>0</v>
      </c>
      <c r="E204" s="4" t="s">
        <v>537</v>
      </c>
      <c r="F204" s="19">
        <v>0</v>
      </c>
      <c r="G204" s="17">
        <f t="shared" si="11"/>
        <v>0</v>
      </c>
      <c r="I204" s="46"/>
    </row>
    <row r="205" spans="1:9" s="20" customFormat="1" ht="63">
      <c r="A205" s="217" t="s">
        <v>294</v>
      </c>
      <c r="B205" s="216" t="s">
        <v>309</v>
      </c>
      <c r="C205" s="4" t="s">
        <v>537</v>
      </c>
      <c r="D205" s="17">
        <v>0</v>
      </c>
      <c r="E205" s="4"/>
      <c r="F205" s="9"/>
      <c r="G205" s="17">
        <f t="shared" si="11"/>
        <v>0</v>
      </c>
      <c r="I205" s="46"/>
    </row>
    <row r="206" spans="1:9" s="20" customFormat="1" ht="63">
      <c r="A206" s="217"/>
      <c r="B206" s="216"/>
      <c r="C206" s="4" t="s">
        <v>562</v>
      </c>
      <c r="D206" s="17">
        <v>0</v>
      </c>
      <c r="E206" s="4" t="s">
        <v>562</v>
      </c>
      <c r="F206" s="19">
        <v>0</v>
      </c>
      <c r="G206" s="17">
        <f t="shared" si="11"/>
        <v>0</v>
      </c>
      <c r="I206" s="46"/>
    </row>
    <row r="207" spans="1:9" s="20" customFormat="1" ht="78.75" customHeight="1">
      <c r="A207" s="22" t="s">
        <v>395</v>
      </c>
      <c r="B207" s="23" t="s">
        <v>269</v>
      </c>
      <c r="C207" s="4"/>
      <c r="D207" s="24">
        <f>D209+D210+D211</f>
        <v>0</v>
      </c>
      <c r="E207" s="5"/>
      <c r="F207" s="28">
        <f>F209+F210</f>
        <v>0</v>
      </c>
      <c r="G207" s="28">
        <f aca="true" t="shared" si="12" ref="G207:G224">D207+F207</f>
        <v>0</v>
      </c>
      <c r="H207" s="47"/>
      <c r="I207" s="46"/>
    </row>
    <row r="208" spans="1:9" s="20" customFormat="1" ht="65.25" customHeight="1" hidden="1">
      <c r="A208" s="18" t="s">
        <v>416</v>
      </c>
      <c r="B208" s="4" t="s">
        <v>417</v>
      </c>
      <c r="C208" s="4" t="s">
        <v>426</v>
      </c>
      <c r="D208" s="17"/>
      <c r="E208" s="4"/>
      <c r="F208" s="12"/>
      <c r="G208" s="28">
        <f t="shared" si="12"/>
        <v>0</v>
      </c>
      <c r="I208" s="46"/>
    </row>
    <row r="209" spans="1:9" s="20" customFormat="1" ht="78.75" customHeight="1">
      <c r="A209" s="18" t="s">
        <v>305</v>
      </c>
      <c r="B209" s="4" t="s">
        <v>306</v>
      </c>
      <c r="C209" s="4" t="s">
        <v>527</v>
      </c>
      <c r="D209" s="17">
        <v>0</v>
      </c>
      <c r="E209" s="4" t="s">
        <v>527</v>
      </c>
      <c r="F209" s="12">
        <v>0</v>
      </c>
      <c r="G209" s="19">
        <f t="shared" si="12"/>
        <v>0</v>
      </c>
      <c r="H209" s="47"/>
      <c r="I209" s="46"/>
    </row>
    <row r="210" spans="1:9" s="20" customFormat="1" ht="78.75">
      <c r="A210" s="217" t="s">
        <v>307</v>
      </c>
      <c r="B210" s="216" t="s">
        <v>308</v>
      </c>
      <c r="C210" s="4" t="s">
        <v>527</v>
      </c>
      <c r="D210" s="17">
        <v>0</v>
      </c>
      <c r="E210" s="4" t="s">
        <v>527</v>
      </c>
      <c r="F210" s="12">
        <v>0</v>
      </c>
      <c r="G210" s="19">
        <f t="shared" si="12"/>
        <v>0</v>
      </c>
      <c r="H210" s="47"/>
      <c r="I210" s="46"/>
    </row>
    <row r="211" spans="1:9" s="20" customFormat="1" ht="68.25" customHeight="1">
      <c r="A211" s="217"/>
      <c r="B211" s="216"/>
      <c r="C211" s="4" t="s">
        <v>553</v>
      </c>
      <c r="D211" s="17">
        <v>0</v>
      </c>
      <c r="E211" s="4"/>
      <c r="F211" s="12"/>
      <c r="G211" s="19">
        <f t="shared" si="12"/>
        <v>0</v>
      </c>
      <c r="I211" s="46"/>
    </row>
    <row r="212" spans="1:9" s="20" customFormat="1" ht="47.25">
      <c r="A212" s="22" t="s">
        <v>404</v>
      </c>
      <c r="B212" s="23" t="s">
        <v>275</v>
      </c>
      <c r="C212" s="4"/>
      <c r="D212" s="24">
        <f>D217</f>
        <v>0</v>
      </c>
      <c r="E212" s="5"/>
      <c r="F212" s="24">
        <f>F213+F214+F215</f>
        <v>0</v>
      </c>
      <c r="G212" s="24">
        <f t="shared" si="12"/>
        <v>0</v>
      </c>
      <c r="H212" s="47"/>
      <c r="I212" s="46"/>
    </row>
    <row r="213" spans="1:9" s="20" customFormat="1" ht="47.25">
      <c r="A213" s="18" t="s">
        <v>416</v>
      </c>
      <c r="B213" s="4" t="s">
        <v>417</v>
      </c>
      <c r="C213" s="4"/>
      <c r="D213" s="17"/>
      <c r="E213" s="4" t="s">
        <v>505</v>
      </c>
      <c r="F213" s="17">
        <v>0</v>
      </c>
      <c r="G213" s="17">
        <f t="shared" si="12"/>
        <v>0</v>
      </c>
      <c r="I213" s="46"/>
    </row>
    <row r="214" spans="1:9" s="20" customFormat="1" ht="63">
      <c r="A214" s="18" t="s">
        <v>301</v>
      </c>
      <c r="B214" s="4" t="s">
        <v>302</v>
      </c>
      <c r="C214" s="4"/>
      <c r="D214" s="5"/>
      <c r="E214" s="4" t="s">
        <v>528</v>
      </c>
      <c r="F214" s="12">
        <v>0</v>
      </c>
      <c r="G214" s="17">
        <f t="shared" si="12"/>
        <v>0</v>
      </c>
      <c r="I214" s="46"/>
    </row>
    <row r="215" spans="1:9" s="20" customFormat="1" ht="79.5" customHeight="1">
      <c r="A215" s="18" t="s">
        <v>316</v>
      </c>
      <c r="B215" s="4" t="s">
        <v>317</v>
      </c>
      <c r="C215" s="4"/>
      <c r="D215" s="5"/>
      <c r="E215" s="4" t="s">
        <v>528</v>
      </c>
      <c r="F215" s="19">
        <v>0</v>
      </c>
      <c r="G215" s="17">
        <f t="shared" si="12"/>
        <v>0</v>
      </c>
      <c r="I215" s="46"/>
    </row>
    <row r="216" spans="1:9" s="20" customFormat="1" ht="78.75" hidden="1">
      <c r="A216" s="18" t="s">
        <v>305</v>
      </c>
      <c r="B216" s="4" t="s">
        <v>473</v>
      </c>
      <c r="C216" s="4"/>
      <c r="D216" s="17"/>
      <c r="E216" s="4" t="s">
        <v>527</v>
      </c>
      <c r="F216" s="19">
        <v>0</v>
      </c>
      <c r="G216" s="24">
        <f t="shared" si="12"/>
        <v>0</v>
      </c>
      <c r="I216" s="46"/>
    </row>
    <row r="217" spans="1:9" s="20" customFormat="1" ht="53.25" customHeight="1">
      <c r="A217" s="18" t="s">
        <v>294</v>
      </c>
      <c r="B217" s="4" t="s">
        <v>309</v>
      </c>
      <c r="C217" s="4" t="s">
        <v>510</v>
      </c>
      <c r="D217" s="17">
        <v>0</v>
      </c>
      <c r="E217" s="4"/>
      <c r="F217" s="19"/>
      <c r="G217" s="17">
        <f t="shared" si="12"/>
        <v>0</v>
      </c>
      <c r="I217" s="46"/>
    </row>
    <row r="218" spans="1:9" s="20" customFormat="1" ht="46.5" customHeight="1">
      <c r="A218" s="22" t="s">
        <v>403</v>
      </c>
      <c r="B218" s="23" t="s">
        <v>254</v>
      </c>
      <c r="C218" s="4"/>
      <c r="D218" s="24">
        <f>D220+D221+D223</f>
        <v>0</v>
      </c>
      <c r="E218" s="5"/>
      <c r="F218" s="27"/>
      <c r="G218" s="28">
        <f t="shared" si="12"/>
        <v>0</v>
      </c>
      <c r="I218" s="46"/>
    </row>
    <row r="219" spans="1:9" s="20" customFormat="1" ht="46.5" customHeight="1" hidden="1">
      <c r="A219" s="26" t="s">
        <v>416</v>
      </c>
      <c r="B219" s="4" t="s">
        <v>417</v>
      </c>
      <c r="C219" s="4" t="s">
        <v>436</v>
      </c>
      <c r="D219" s="21"/>
      <c r="E219" s="5"/>
      <c r="F219" s="19"/>
      <c r="G219" s="28">
        <f t="shared" si="12"/>
        <v>0</v>
      </c>
      <c r="I219" s="46"/>
    </row>
    <row r="220" spans="1:9" s="20" customFormat="1" ht="70.5" customHeight="1">
      <c r="A220" s="18" t="s">
        <v>416</v>
      </c>
      <c r="B220" s="4" t="s">
        <v>417</v>
      </c>
      <c r="C220" s="4" t="s">
        <v>538</v>
      </c>
      <c r="D220" s="21">
        <v>0</v>
      </c>
      <c r="E220" s="5"/>
      <c r="F220" s="19"/>
      <c r="G220" s="19">
        <f t="shared" si="12"/>
        <v>0</v>
      </c>
      <c r="I220" s="46"/>
    </row>
    <row r="221" spans="1:9" s="20" customFormat="1" ht="15.75">
      <c r="A221" s="26">
        <v>230000</v>
      </c>
      <c r="B221" s="4" t="s">
        <v>445</v>
      </c>
      <c r="C221" s="216" t="s">
        <v>567</v>
      </c>
      <c r="D221" s="21">
        <v>0</v>
      </c>
      <c r="E221" s="5"/>
      <c r="F221" s="27"/>
      <c r="G221" s="19">
        <f t="shared" si="12"/>
        <v>0</v>
      </c>
      <c r="I221" s="46"/>
    </row>
    <row r="222" spans="1:9" s="20" customFormat="1" ht="48" customHeight="1" hidden="1">
      <c r="A222" s="26">
        <v>210105</v>
      </c>
      <c r="B222" s="4"/>
      <c r="C222" s="216"/>
      <c r="D222" s="21">
        <v>0</v>
      </c>
      <c r="E222" s="5"/>
      <c r="F222" s="19">
        <v>0</v>
      </c>
      <c r="G222" s="19">
        <f t="shared" si="12"/>
        <v>0</v>
      </c>
      <c r="I222" s="46"/>
    </row>
    <row r="223" spans="1:9" s="20" customFormat="1" ht="33" customHeight="1">
      <c r="A223" s="18" t="s">
        <v>294</v>
      </c>
      <c r="B223" s="4" t="s">
        <v>309</v>
      </c>
      <c r="C223" s="216"/>
      <c r="D223" s="17">
        <v>0</v>
      </c>
      <c r="E223" s="4"/>
      <c r="F223" s="9"/>
      <c r="G223" s="19">
        <f t="shared" si="12"/>
        <v>0</v>
      </c>
      <c r="I223" s="46"/>
    </row>
    <row r="224" spans="1:9" s="20" customFormat="1" ht="47.25">
      <c r="A224" s="22" t="s">
        <v>444</v>
      </c>
      <c r="B224" s="23" t="s">
        <v>254</v>
      </c>
      <c r="C224" s="4"/>
      <c r="D224" s="32">
        <v>0</v>
      </c>
      <c r="E224" s="4"/>
      <c r="F224" s="24">
        <f>F226+F227</f>
        <v>0</v>
      </c>
      <c r="G224" s="24">
        <f t="shared" si="12"/>
        <v>0</v>
      </c>
      <c r="H224" s="47"/>
      <c r="I224" s="46"/>
    </row>
    <row r="225" spans="1:9" s="20" customFormat="1" ht="45" customHeight="1" hidden="1">
      <c r="A225" s="18" t="s">
        <v>318</v>
      </c>
      <c r="B225" s="4" t="s">
        <v>446</v>
      </c>
      <c r="C225" s="4"/>
      <c r="D225" s="5"/>
      <c r="E225" s="4" t="s">
        <v>454</v>
      </c>
      <c r="F225" s="12">
        <v>0</v>
      </c>
      <c r="G225" s="9">
        <v>0</v>
      </c>
      <c r="I225" s="46"/>
    </row>
    <row r="226" spans="1:9" s="20" customFormat="1" ht="51.75" customHeight="1">
      <c r="A226" s="280">
        <v>250380</v>
      </c>
      <c r="B226" s="219" t="s">
        <v>545</v>
      </c>
      <c r="C226" s="4"/>
      <c r="D226" s="5"/>
      <c r="E226" s="4" t="s">
        <v>526</v>
      </c>
      <c r="F226" s="19">
        <v>0</v>
      </c>
      <c r="G226" s="19">
        <f>F226</f>
        <v>0</v>
      </c>
      <c r="I226" s="46"/>
    </row>
    <row r="227" spans="1:9" s="20" customFormat="1" ht="51.75" customHeight="1">
      <c r="A227" s="281"/>
      <c r="B227" s="220"/>
      <c r="C227" s="4"/>
      <c r="D227" s="5"/>
      <c r="E227" s="4" t="s">
        <v>548</v>
      </c>
      <c r="F227" s="19">
        <v>0</v>
      </c>
      <c r="G227" s="19">
        <f>F227</f>
        <v>0</v>
      </c>
      <c r="I227" s="46"/>
    </row>
    <row r="228" spans="1:9" s="20" customFormat="1" ht="47.25">
      <c r="A228" s="22" t="s">
        <v>385</v>
      </c>
      <c r="B228" s="23" t="s">
        <v>257</v>
      </c>
      <c r="C228" s="4"/>
      <c r="D228" s="24">
        <f>D232+D235+D236+D237+D238+D241+D242</f>
        <v>0</v>
      </c>
      <c r="E228" s="4"/>
      <c r="F228" s="24">
        <f>F231+F234</f>
        <v>0</v>
      </c>
      <c r="G228" s="24">
        <f>D228+F228</f>
        <v>0</v>
      </c>
      <c r="H228" s="47"/>
      <c r="I228" s="46"/>
    </row>
    <row r="229" spans="1:9" s="20" customFormat="1" ht="49.5" customHeight="1" hidden="1">
      <c r="A229" s="18" t="s">
        <v>416</v>
      </c>
      <c r="B229" s="4" t="s">
        <v>417</v>
      </c>
      <c r="C229" s="4" t="s">
        <v>422</v>
      </c>
      <c r="D229" s="17"/>
      <c r="E229" s="4" t="s">
        <v>422</v>
      </c>
      <c r="F229" s="19"/>
      <c r="G229" s="9">
        <v>0</v>
      </c>
      <c r="I229" s="46"/>
    </row>
    <row r="230" spans="1:9" s="20" customFormat="1" ht="72" customHeight="1" hidden="1">
      <c r="A230" s="217" t="s">
        <v>416</v>
      </c>
      <c r="B230" s="216" t="s">
        <v>417</v>
      </c>
      <c r="C230" s="4" t="s">
        <v>538</v>
      </c>
      <c r="D230" s="17">
        <v>0</v>
      </c>
      <c r="E230" s="4"/>
      <c r="F230" s="19"/>
      <c r="G230" s="19">
        <v>0</v>
      </c>
      <c r="I230" s="46"/>
    </row>
    <row r="231" spans="1:9" s="20" customFormat="1" ht="63" customHeight="1">
      <c r="A231" s="217"/>
      <c r="B231" s="216"/>
      <c r="C231" s="4"/>
      <c r="D231" s="17"/>
      <c r="E231" s="4" t="s">
        <v>523</v>
      </c>
      <c r="F231" s="19">
        <v>0</v>
      </c>
      <c r="G231" s="19">
        <f>F231</f>
        <v>0</v>
      </c>
      <c r="I231" s="46"/>
    </row>
    <row r="232" spans="1:9" s="20" customFormat="1" ht="47.25" customHeight="1">
      <c r="A232" s="18" t="s">
        <v>311</v>
      </c>
      <c r="B232" s="4" t="s">
        <v>312</v>
      </c>
      <c r="C232" s="4" t="s">
        <v>526</v>
      </c>
      <c r="D232" s="17">
        <v>0</v>
      </c>
      <c r="E232" s="4"/>
      <c r="F232" s="19"/>
      <c r="G232" s="19">
        <f>D232</f>
        <v>0</v>
      </c>
      <c r="I232" s="46"/>
    </row>
    <row r="233" spans="1:9" s="20" customFormat="1" ht="42.75" customHeight="1" hidden="1">
      <c r="A233" s="18" t="s">
        <v>301</v>
      </c>
      <c r="B233" s="4" t="s">
        <v>302</v>
      </c>
      <c r="C233" s="4"/>
      <c r="D233" s="17"/>
      <c r="E233" s="4" t="s">
        <v>450</v>
      </c>
      <c r="F233" s="19">
        <v>0</v>
      </c>
      <c r="G233" s="9">
        <v>0</v>
      </c>
      <c r="I233" s="46"/>
    </row>
    <row r="234" spans="1:9" s="20" customFormat="1" ht="95.25" customHeight="1">
      <c r="A234" s="18" t="s">
        <v>288</v>
      </c>
      <c r="B234" s="4" t="s">
        <v>475</v>
      </c>
      <c r="C234" s="4"/>
      <c r="D234" s="17"/>
      <c r="E234" s="4" t="s">
        <v>536</v>
      </c>
      <c r="F234" s="19">
        <v>0</v>
      </c>
      <c r="G234" s="19">
        <f>F234</f>
        <v>0</v>
      </c>
      <c r="I234" s="46"/>
    </row>
    <row r="235" spans="1:9" s="20" customFormat="1" ht="47.25">
      <c r="A235" s="217" t="s">
        <v>294</v>
      </c>
      <c r="B235" s="216" t="s">
        <v>309</v>
      </c>
      <c r="C235" s="4" t="s">
        <v>507</v>
      </c>
      <c r="D235" s="17">
        <v>0</v>
      </c>
      <c r="E235" s="4"/>
      <c r="F235" s="9"/>
      <c r="G235" s="19">
        <f>D235</f>
        <v>0</v>
      </c>
      <c r="I235" s="46"/>
    </row>
    <row r="236" spans="1:9" s="20" customFormat="1" ht="47.25">
      <c r="A236" s="217"/>
      <c r="B236" s="216"/>
      <c r="C236" s="4" t="s">
        <v>526</v>
      </c>
      <c r="D236" s="17">
        <v>0</v>
      </c>
      <c r="E236" s="4"/>
      <c r="F236" s="9"/>
      <c r="G236" s="19">
        <f aca="true" t="shared" si="13" ref="G236:G242">D236</f>
        <v>0</v>
      </c>
      <c r="I236" s="46"/>
    </row>
    <row r="237" spans="1:9" s="20" customFormat="1" ht="63">
      <c r="A237" s="217"/>
      <c r="B237" s="216"/>
      <c r="C237" s="4" t="s">
        <v>511</v>
      </c>
      <c r="D237" s="17">
        <v>0</v>
      </c>
      <c r="E237" s="4"/>
      <c r="F237" s="9"/>
      <c r="G237" s="19">
        <f t="shared" si="13"/>
        <v>0</v>
      </c>
      <c r="I237" s="46"/>
    </row>
    <row r="238" spans="1:9" s="20" customFormat="1" ht="47.25">
      <c r="A238" s="217"/>
      <c r="B238" s="216"/>
      <c r="C238" s="4" t="s">
        <v>516</v>
      </c>
      <c r="D238" s="17">
        <v>0</v>
      </c>
      <c r="E238" s="4"/>
      <c r="F238" s="9"/>
      <c r="G238" s="19">
        <f t="shared" si="13"/>
        <v>0</v>
      </c>
      <c r="I238" s="46"/>
    </row>
    <row r="239" spans="1:9" s="20" customFormat="1" ht="45.75" customHeight="1" hidden="1">
      <c r="A239" s="217"/>
      <c r="B239" s="216"/>
      <c r="C239" s="4"/>
      <c r="D239" s="5"/>
      <c r="E239" s="4"/>
      <c r="F239" s="9"/>
      <c r="G239" s="19">
        <f t="shared" si="13"/>
        <v>0</v>
      </c>
      <c r="I239" s="46"/>
    </row>
    <row r="240" spans="1:9" s="20" customFormat="1" ht="56.25" customHeight="1" hidden="1">
      <c r="A240" s="217"/>
      <c r="B240" s="216"/>
      <c r="C240" s="4"/>
      <c r="D240" s="5"/>
      <c r="E240" s="4"/>
      <c r="F240" s="9"/>
      <c r="G240" s="19">
        <f t="shared" si="13"/>
        <v>0</v>
      </c>
      <c r="I240" s="46"/>
    </row>
    <row r="241" spans="1:9" s="20" customFormat="1" ht="63">
      <c r="A241" s="217"/>
      <c r="B241" s="216"/>
      <c r="C241" s="4" t="s">
        <v>529</v>
      </c>
      <c r="D241" s="17">
        <v>0</v>
      </c>
      <c r="E241" s="4"/>
      <c r="F241" s="9"/>
      <c r="G241" s="19">
        <f t="shared" si="13"/>
        <v>0</v>
      </c>
      <c r="I241" s="46"/>
    </row>
    <row r="242" spans="1:9" s="20" customFormat="1" ht="63.75" customHeight="1">
      <c r="A242" s="217"/>
      <c r="B242" s="216"/>
      <c r="C242" s="4" t="s">
        <v>538</v>
      </c>
      <c r="D242" s="17">
        <v>0</v>
      </c>
      <c r="E242" s="4"/>
      <c r="F242" s="9"/>
      <c r="G242" s="19">
        <f t="shared" si="13"/>
        <v>0</v>
      </c>
      <c r="I242" s="46"/>
    </row>
    <row r="243" spans="1:9" s="20" customFormat="1" ht="47.25">
      <c r="A243" s="22" t="s">
        <v>386</v>
      </c>
      <c r="B243" s="23" t="s">
        <v>260</v>
      </c>
      <c r="C243" s="4"/>
      <c r="D243" s="24">
        <f>D245+D249+D251+D252+D253+D254</f>
        <v>0</v>
      </c>
      <c r="E243" s="23"/>
      <c r="F243" s="24">
        <f>F244+F245+F246+F248</f>
        <v>0</v>
      </c>
      <c r="G243" s="24">
        <f>D243+F243</f>
        <v>0</v>
      </c>
      <c r="H243" s="47"/>
      <c r="I243" s="46"/>
    </row>
    <row r="244" spans="1:9" s="20" customFormat="1" ht="43.5" customHeight="1">
      <c r="A244" s="18" t="s">
        <v>416</v>
      </c>
      <c r="B244" s="4" t="s">
        <v>417</v>
      </c>
      <c r="C244" s="4"/>
      <c r="D244" s="17"/>
      <c r="E244" s="4" t="s">
        <v>523</v>
      </c>
      <c r="F244" s="19">
        <v>0</v>
      </c>
      <c r="G244" s="19">
        <f>F244</f>
        <v>0</v>
      </c>
      <c r="I244" s="46"/>
    </row>
    <row r="245" spans="1:9" s="20" customFormat="1" ht="50.25" customHeight="1">
      <c r="A245" s="217" t="s">
        <v>311</v>
      </c>
      <c r="B245" s="216" t="s">
        <v>312</v>
      </c>
      <c r="C245" s="4" t="s">
        <v>526</v>
      </c>
      <c r="D245" s="17">
        <v>0</v>
      </c>
      <c r="E245" s="4" t="s">
        <v>526</v>
      </c>
      <c r="F245" s="19">
        <v>0</v>
      </c>
      <c r="G245" s="19">
        <f>D245+F245</f>
        <v>0</v>
      </c>
      <c r="I245" s="46"/>
    </row>
    <row r="246" spans="1:9" s="20" customFormat="1" ht="47.25">
      <c r="A246" s="217"/>
      <c r="B246" s="216"/>
      <c r="C246" s="4"/>
      <c r="D246" s="17"/>
      <c r="E246" s="35" t="s">
        <v>518</v>
      </c>
      <c r="F246" s="39">
        <v>0</v>
      </c>
      <c r="G246" s="39">
        <f>F246</f>
        <v>0</v>
      </c>
      <c r="I246" s="46"/>
    </row>
    <row r="247" spans="1:9" s="20" customFormat="1" ht="21.75" customHeight="1" hidden="1">
      <c r="A247" s="18" t="s">
        <v>301</v>
      </c>
      <c r="B247" s="4" t="s">
        <v>302</v>
      </c>
      <c r="C247" s="4"/>
      <c r="D247" s="17"/>
      <c r="E247" s="4"/>
      <c r="F247" s="19"/>
      <c r="G247" s="19">
        <v>0</v>
      </c>
      <c r="I247" s="46"/>
    </row>
    <row r="248" spans="1:9" s="20" customFormat="1" ht="99.75" customHeight="1">
      <c r="A248" s="18" t="s">
        <v>288</v>
      </c>
      <c r="B248" s="4" t="s">
        <v>475</v>
      </c>
      <c r="C248" s="4"/>
      <c r="D248" s="17"/>
      <c r="E248" s="4" t="s">
        <v>536</v>
      </c>
      <c r="F248" s="19">
        <v>0</v>
      </c>
      <c r="G248" s="19">
        <f>F248</f>
        <v>0</v>
      </c>
      <c r="I248" s="46"/>
    </row>
    <row r="249" spans="1:9" s="20" customFormat="1" ht="47.25">
      <c r="A249" s="217" t="s">
        <v>294</v>
      </c>
      <c r="B249" s="216" t="s">
        <v>309</v>
      </c>
      <c r="C249" s="4" t="s">
        <v>507</v>
      </c>
      <c r="D249" s="17">
        <v>0</v>
      </c>
      <c r="E249" s="4"/>
      <c r="F249" s="9"/>
      <c r="G249" s="19">
        <f aca="true" t="shared" si="14" ref="G249:G254">D249</f>
        <v>0</v>
      </c>
      <c r="I249" s="46"/>
    </row>
    <row r="250" spans="1:9" s="20" customFormat="1" ht="34.5" customHeight="1" hidden="1">
      <c r="A250" s="217"/>
      <c r="B250" s="216"/>
      <c r="C250" s="4"/>
      <c r="D250" s="17"/>
      <c r="E250" s="4"/>
      <c r="F250" s="9"/>
      <c r="G250" s="19">
        <f t="shared" si="14"/>
        <v>0</v>
      </c>
      <c r="I250" s="46"/>
    </row>
    <row r="251" spans="1:9" s="20" customFormat="1" ht="63">
      <c r="A251" s="217"/>
      <c r="B251" s="216"/>
      <c r="C251" s="4" t="s">
        <v>511</v>
      </c>
      <c r="D251" s="17">
        <v>0</v>
      </c>
      <c r="E251" s="4"/>
      <c r="F251" s="9"/>
      <c r="G251" s="19">
        <f t="shared" si="14"/>
        <v>0</v>
      </c>
      <c r="I251" s="46"/>
    </row>
    <row r="252" spans="1:9" s="20" customFormat="1" ht="47.25">
      <c r="A252" s="217"/>
      <c r="B252" s="216"/>
      <c r="C252" s="4" t="s">
        <v>516</v>
      </c>
      <c r="D252" s="17">
        <v>0</v>
      </c>
      <c r="E252" s="4"/>
      <c r="F252" s="9"/>
      <c r="G252" s="19">
        <f t="shared" si="14"/>
        <v>0</v>
      </c>
      <c r="I252" s="46"/>
    </row>
    <row r="253" spans="1:9" s="20" customFormat="1" ht="47.25">
      <c r="A253" s="217"/>
      <c r="B253" s="216"/>
      <c r="C253" s="4" t="s">
        <v>526</v>
      </c>
      <c r="D253" s="17">
        <v>0</v>
      </c>
      <c r="E253" s="4"/>
      <c r="F253" s="9"/>
      <c r="G253" s="19">
        <f t="shared" si="14"/>
        <v>0</v>
      </c>
      <c r="I253" s="46"/>
    </row>
    <row r="254" spans="1:9" s="20" customFormat="1" ht="63">
      <c r="A254" s="217"/>
      <c r="B254" s="216"/>
      <c r="C254" s="4" t="s">
        <v>529</v>
      </c>
      <c r="D254" s="17">
        <v>0</v>
      </c>
      <c r="E254" s="4"/>
      <c r="F254" s="9"/>
      <c r="G254" s="19">
        <f t="shared" si="14"/>
        <v>0</v>
      </c>
      <c r="I254" s="46"/>
    </row>
    <row r="255" spans="1:9" s="20" customFormat="1" ht="47.25">
      <c r="A255" s="22" t="s">
        <v>387</v>
      </c>
      <c r="B255" s="23" t="s">
        <v>261</v>
      </c>
      <c r="C255" s="4"/>
      <c r="D255" s="24">
        <f>D257+D260+D261+D262+D263+D265+D266</f>
        <v>0</v>
      </c>
      <c r="E255" s="23"/>
      <c r="F255" s="24">
        <f>F256+F257+F258+F259</f>
        <v>0</v>
      </c>
      <c r="G255" s="24">
        <f>D255+F255</f>
        <v>0</v>
      </c>
      <c r="H255" s="47"/>
      <c r="I255" s="46"/>
    </row>
    <row r="256" spans="1:9" s="20" customFormat="1" ht="52.5" customHeight="1">
      <c r="A256" s="18" t="s">
        <v>416</v>
      </c>
      <c r="B256" s="4" t="s">
        <v>417</v>
      </c>
      <c r="C256" s="4"/>
      <c r="D256" s="17"/>
      <c r="E256" s="4" t="s">
        <v>523</v>
      </c>
      <c r="F256" s="19">
        <v>0</v>
      </c>
      <c r="G256" s="19">
        <f>F256</f>
        <v>0</v>
      </c>
      <c r="I256" s="46"/>
    </row>
    <row r="257" spans="1:9" s="20" customFormat="1" ht="56.25" customHeight="1">
      <c r="A257" s="18" t="s">
        <v>311</v>
      </c>
      <c r="B257" s="4" t="s">
        <v>312</v>
      </c>
      <c r="C257" s="4" t="s">
        <v>526</v>
      </c>
      <c r="D257" s="17">
        <v>0</v>
      </c>
      <c r="E257" s="4" t="s">
        <v>526</v>
      </c>
      <c r="F257" s="19">
        <v>0</v>
      </c>
      <c r="G257" s="19">
        <f>D257+F257</f>
        <v>0</v>
      </c>
      <c r="I257" s="46"/>
    </row>
    <row r="258" spans="1:9" s="20" customFormat="1" ht="47.25">
      <c r="A258" s="18" t="s">
        <v>301</v>
      </c>
      <c r="B258" s="4" t="s">
        <v>302</v>
      </c>
      <c r="C258" s="4"/>
      <c r="D258" s="17"/>
      <c r="E258" s="4" t="s">
        <v>526</v>
      </c>
      <c r="F258" s="19">
        <v>0</v>
      </c>
      <c r="G258" s="19">
        <f>F258</f>
        <v>0</v>
      </c>
      <c r="I258" s="46"/>
    </row>
    <row r="259" spans="1:9" s="20" customFormat="1" ht="99.75" customHeight="1">
      <c r="A259" s="18" t="s">
        <v>288</v>
      </c>
      <c r="B259" s="4" t="s">
        <v>475</v>
      </c>
      <c r="C259" s="4"/>
      <c r="D259" s="17"/>
      <c r="E259" s="4" t="s">
        <v>536</v>
      </c>
      <c r="F259" s="19">
        <v>0</v>
      </c>
      <c r="G259" s="19">
        <f>F259</f>
        <v>0</v>
      </c>
      <c r="I259" s="46"/>
    </row>
    <row r="260" spans="1:9" s="20" customFormat="1" ht="47.25">
      <c r="A260" s="217" t="s">
        <v>294</v>
      </c>
      <c r="B260" s="216" t="s">
        <v>309</v>
      </c>
      <c r="C260" s="4" t="s">
        <v>507</v>
      </c>
      <c r="D260" s="17">
        <v>0</v>
      </c>
      <c r="E260" s="4"/>
      <c r="F260" s="9"/>
      <c r="G260" s="19">
        <f>D260</f>
        <v>0</v>
      </c>
      <c r="I260" s="46"/>
    </row>
    <row r="261" spans="1:9" s="20" customFormat="1" ht="47.25">
      <c r="A261" s="217"/>
      <c r="B261" s="216"/>
      <c r="C261" s="4" t="s">
        <v>526</v>
      </c>
      <c r="D261" s="17">
        <v>0</v>
      </c>
      <c r="E261" s="4"/>
      <c r="F261" s="9"/>
      <c r="G261" s="19">
        <f aca="true" t="shared" si="15" ref="G261:G266">D261</f>
        <v>0</v>
      </c>
      <c r="I261" s="46"/>
    </row>
    <row r="262" spans="1:9" s="20" customFormat="1" ht="63">
      <c r="A262" s="217"/>
      <c r="B262" s="216"/>
      <c r="C262" s="4" t="s">
        <v>511</v>
      </c>
      <c r="D262" s="17">
        <v>0</v>
      </c>
      <c r="E262" s="4"/>
      <c r="F262" s="9"/>
      <c r="G262" s="19">
        <f t="shared" si="15"/>
        <v>0</v>
      </c>
      <c r="I262" s="46"/>
    </row>
    <row r="263" spans="1:9" s="20" customFormat="1" ht="47.25">
      <c r="A263" s="217"/>
      <c r="B263" s="216"/>
      <c r="C263" s="4" t="s">
        <v>516</v>
      </c>
      <c r="D263" s="17">
        <v>0</v>
      </c>
      <c r="E263" s="4"/>
      <c r="F263" s="9"/>
      <c r="G263" s="19">
        <f t="shared" si="15"/>
        <v>0</v>
      </c>
      <c r="I263" s="46"/>
    </row>
    <row r="264" spans="1:9" s="20" customFormat="1" ht="21.75" customHeight="1" hidden="1">
      <c r="A264" s="217"/>
      <c r="B264" s="216"/>
      <c r="C264" s="4"/>
      <c r="D264" s="5"/>
      <c r="E264" s="4"/>
      <c r="F264" s="9"/>
      <c r="G264" s="19">
        <f t="shared" si="15"/>
        <v>0</v>
      </c>
      <c r="I264" s="46"/>
    </row>
    <row r="265" spans="1:9" s="20" customFormat="1" ht="63">
      <c r="A265" s="217"/>
      <c r="B265" s="216"/>
      <c r="C265" s="4" t="s">
        <v>529</v>
      </c>
      <c r="D265" s="17">
        <v>0</v>
      </c>
      <c r="E265" s="4"/>
      <c r="F265" s="9"/>
      <c r="G265" s="19">
        <f t="shared" si="15"/>
        <v>0</v>
      </c>
      <c r="I265" s="46"/>
    </row>
    <row r="266" spans="1:9" s="20" customFormat="1" ht="66.75" customHeight="1">
      <c r="A266" s="217"/>
      <c r="B266" s="216"/>
      <c r="C266" s="4" t="s">
        <v>538</v>
      </c>
      <c r="D266" s="17">
        <v>0</v>
      </c>
      <c r="E266" s="4"/>
      <c r="F266" s="9"/>
      <c r="G266" s="19">
        <f t="shared" si="15"/>
        <v>0</v>
      </c>
      <c r="I266" s="46"/>
    </row>
    <row r="267" spans="1:9" s="20" customFormat="1" ht="47.25">
      <c r="A267" s="22" t="s">
        <v>388</v>
      </c>
      <c r="B267" s="23" t="s">
        <v>262</v>
      </c>
      <c r="C267" s="4"/>
      <c r="D267" s="24">
        <f>D269+D271+D272+D273+D274+D275+D276</f>
        <v>0</v>
      </c>
      <c r="E267" s="23"/>
      <c r="F267" s="24">
        <f>F268+F269+F270</f>
        <v>0</v>
      </c>
      <c r="G267" s="28">
        <f>D267+F267</f>
        <v>0</v>
      </c>
      <c r="H267" s="48"/>
      <c r="I267" s="46"/>
    </row>
    <row r="268" spans="1:9" s="20" customFormat="1" ht="47.25">
      <c r="A268" s="18" t="s">
        <v>416</v>
      </c>
      <c r="B268" s="4" t="s">
        <v>417</v>
      </c>
      <c r="C268" s="4"/>
      <c r="D268" s="17"/>
      <c r="E268" s="4" t="s">
        <v>523</v>
      </c>
      <c r="F268" s="19">
        <v>0</v>
      </c>
      <c r="G268" s="19">
        <f>F268</f>
        <v>0</v>
      </c>
      <c r="H268" s="33"/>
      <c r="I268" s="46"/>
    </row>
    <row r="269" spans="1:9" s="20" customFormat="1" ht="66" customHeight="1">
      <c r="A269" s="18" t="s">
        <v>311</v>
      </c>
      <c r="B269" s="4" t="s">
        <v>312</v>
      </c>
      <c r="C269" s="4" t="s">
        <v>526</v>
      </c>
      <c r="D269" s="17">
        <v>0</v>
      </c>
      <c r="E269" s="4" t="s">
        <v>526</v>
      </c>
      <c r="F269" s="19">
        <v>0</v>
      </c>
      <c r="G269" s="19">
        <f>D269+F269</f>
        <v>0</v>
      </c>
      <c r="I269" s="46"/>
    </row>
    <row r="270" spans="1:9" s="20" customFormat="1" ht="55.5" customHeight="1">
      <c r="A270" s="18" t="s">
        <v>301</v>
      </c>
      <c r="B270" s="4" t="s">
        <v>302</v>
      </c>
      <c r="C270" s="4"/>
      <c r="D270" s="17"/>
      <c r="E270" s="4" t="s">
        <v>526</v>
      </c>
      <c r="F270" s="19">
        <v>0</v>
      </c>
      <c r="G270" s="19">
        <f>F270</f>
        <v>0</v>
      </c>
      <c r="I270" s="46"/>
    </row>
    <row r="271" spans="1:9" s="20" customFormat="1" ht="47.25">
      <c r="A271" s="217" t="s">
        <v>294</v>
      </c>
      <c r="B271" s="216" t="s">
        <v>309</v>
      </c>
      <c r="C271" s="4" t="s">
        <v>507</v>
      </c>
      <c r="D271" s="17">
        <v>0</v>
      </c>
      <c r="E271" s="4"/>
      <c r="F271" s="9"/>
      <c r="G271" s="19">
        <f aca="true" t="shared" si="16" ref="G271:G276">D271</f>
        <v>0</v>
      </c>
      <c r="I271" s="46"/>
    </row>
    <row r="272" spans="1:9" s="20" customFormat="1" ht="47.25">
      <c r="A272" s="217"/>
      <c r="B272" s="216"/>
      <c r="C272" s="4" t="s">
        <v>526</v>
      </c>
      <c r="D272" s="17">
        <v>0</v>
      </c>
      <c r="E272" s="4"/>
      <c r="F272" s="9"/>
      <c r="G272" s="19">
        <f t="shared" si="16"/>
        <v>0</v>
      </c>
      <c r="I272" s="46"/>
    </row>
    <row r="273" spans="1:9" s="20" customFormat="1" ht="63">
      <c r="A273" s="217"/>
      <c r="B273" s="216"/>
      <c r="C273" s="4" t="s">
        <v>511</v>
      </c>
      <c r="D273" s="17">
        <v>0</v>
      </c>
      <c r="E273" s="4"/>
      <c r="F273" s="9"/>
      <c r="G273" s="19">
        <f t="shared" si="16"/>
        <v>0</v>
      </c>
      <c r="I273" s="46"/>
    </row>
    <row r="274" spans="1:9" s="20" customFormat="1" ht="47.25">
      <c r="A274" s="217"/>
      <c r="B274" s="216"/>
      <c r="C274" s="4" t="s">
        <v>516</v>
      </c>
      <c r="D274" s="17">
        <v>0</v>
      </c>
      <c r="E274" s="4"/>
      <c r="F274" s="9"/>
      <c r="G274" s="19">
        <f t="shared" si="16"/>
        <v>0</v>
      </c>
      <c r="I274" s="46"/>
    </row>
    <row r="275" spans="1:9" s="20" customFormat="1" ht="63">
      <c r="A275" s="217"/>
      <c r="B275" s="216"/>
      <c r="C275" s="4" t="s">
        <v>529</v>
      </c>
      <c r="D275" s="17">
        <v>0</v>
      </c>
      <c r="E275" s="4"/>
      <c r="F275" s="9"/>
      <c r="G275" s="19">
        <f t="shared" si="16"/>
        <v>0</v>
      </c>
      <c r="I275" s="46"/>
    </row>
    <row r="276" spans="1:9" s="20" customFormat="1" ht="63.75" customHeight="1">
      <c r="A276" s="217"/>
      <c r="B276" s="216"/>
      <c r="C276" s="4" t="s">
        <v>538</v>
      </c>
      <c r="D276" s="17">
        <v>0</v>
      </c>
      <c r="E276" s="4"/>
      <c r="F276" s="9"/>
      <c r="G276" s="19">
        <f t="shared" si="16"/>
        <v>0</v>
      </c>
      <c r="I276" s="46"/>
    </row>
    <row r="277" spans="1:9" s="33" customFormat="1" ht="47.25">
      <c r="A277" s="22" t="s">
        <v>389</v>
      </c>
      <c r="B277" s="23" t="s">
        <v>263</v>
      </c>
      <c r="C277" s="23"/>
      <c r="D277" s="24">
        <f>D279+D281+D283+D285+D287+D288+D289+D290+D291+D292</f>
        <v>0</v>
      </c>
      <c r="E277" s="23"/>
      <c r="F277" s="24">
        <f>F280+F284</f>
        <v>0</v>
      </c>
      <c r="G277" s="24">
        <f>D277+F277</f>
        <v>0</v>
      </c>
      <c r="H277" s="48"/>
      <c r="I277" s="46"/>
    </row>
    <row r="278" spans="1:9" s="33" customFormat="1" ht="55.5" customHeight="1" hidden="1">
      <c r="A278" s="18" t="s">
        <v>416</v>
      </c>
      <c r="B278" s="4" t="s">
        <v>417</v>
      </c>
      <c r="C278" s="4" t="s">
        <v>423</v>
      </c>
      <c r="D278" s="17"/>
      <c r="E278" s="4" t="s">
        <v>423</v>
      </c>
      <c r="F278" s="19"/>
      <c r="G278" s="19">
        <v>0</v>
      </c>
      <c r="I278" s="46"/>
    </row>
    <row r="279" spans="1:9" s="33" customFormat="1" ht="69" customHeight="1">
      <c r="A279" s="221" t="s">
        <v>416</v>
      </c>
      <c r="B279" s="219" t="s">
        <v>417</v>
      </c>
      <c r="C279" s="4" t="s">
        <v>538</v>
      </c>
      <c r="D279" s="17">
        <v>0</v>
      </c>
      <c r="E279" s="4"/>
      <c r="F279" s="19"/>
      <c r="G279" s="19">
        <f>D279</f>
        <v>0</v>
      </c>
      <c r="I279" s="46"/>
    </row>
    <row r="280" spans="1:9" s="33" customFormat="1" ht="54.75" customHeight="1">
      <c r="A280" s="222"/>
      <c r="B280" s="220"/>
      <c r="C280" s="4"/>
      <c r="D280" s="17"/>
      <c r="E280" s="4" t="s">
        <v>523</v>
      </c>
      <c r="F280" s="19">
        <v>0</v>
      </c>
      <c r="G280" s="19">
        <f>F280</f>
        <v>0</v>
      </c>
      <c r="I280" s="46"/>
    </row>
    <row r="281" spans="1:9" s="20" customFormat="1" ht="49.5" customHeight="1">
      <c r="A281" s="217" t="s">
        <v>311</v>
      </c>
      <c r="B281" s="216" t="s">
        <v>312</v>
      </c>
      <c r="C281" s="4" t="s">
        <v>526</v>
      </c>
      <c r="D281" s="17">
        <v>0</v>
      </c>
      <c r="E281" s="4"/>
      <c r="F281" s="19"/>
      <c r="G281" s="19">
        <f>D281</f>
        <v>0</v>
      </c>
      <c r="I281" s="46"/>
    </row>
    <row r="282" spans="1:9" s="20" customFormat="1" ht="47.25" hidden="1">
      <c r="A282" s="217"/>
      <c r="B282" s="216"/>
      <c r="C282" s="4"/>
      <c r="D282" s="17"/>
      <c r="E282" s="35" t="s">
        <v>518</v>
      </c>
      <c r="F282" s="39">
        <v>0</v>
      </c>
      <c r="G282" s="39">
        <v>0</v>
      </c>
      <c r="I282" s="46"/>
    </row>
    <row r="283" spans="1:9" s="20" customFormat="1" ht="47.25">
      <c r="A283" s="18" t="s">
        <v>491</v>
      </c>
      <c r="B283" s="4" t="s">
        <v>309</v>
      </c>
      <c r="C283" s="4" t="s">
        <v>513</v>
      </c>
      <c r="D283" s="17">
        <v>0</v>
      </c>
      <c r="E283" s="4"/>
      <c r="F283" s="19"/>
      <c r="G283" s="19">
        <f>D283</f>
        <v>0</v>
      </c>
      <c r="I283" s="46"/>
    </row>
    <row r="284" spans="1:9" s="20" customFormat="1" ht="93.75" customHeight="1">
      <c r="A284" s="18" t="s">
        <v>288</v>
      </c>
      <c r="B284" s="4" t="s">
        <v>475</v>
      </c>
      <c r="C284" s="4"/>
      <c r="D284" s="17"/>
      <c r="E284" s="4" t="s">
        <v>536</v>
      </c>
      <c r="F284" s="19">
        <v>0</v>
      </c>
      <c r="G284" s="19">
        <f>F284</f>
        <v>0</v>
      </c>
      <c r="I284" s="46"/>
    </row>
    <row r="285" spans="1:9" s="20" customFormat="1" ht="47.25">
      <c r="A285" s="217" t="s">
        <v>294</v>
      </c>
      <c r="B285" s="216" t="s">
        <v>309</v>
      </c>
      <c r="C285" s="4" t="s">
        <v>507</v>
      </c>
      <c r="D285" s="17">
        <v>0</v>
      </c>
      <c r="E285" s="4"/>
      <c r="F285" s="9"/>
      <c r="G285" s="19">
        <f>D285</f>
        <v>0</v>
      </c>
      <c r="I285" s="46"/>
    </row>
    <row r="286" spans="1:9" s="20" customFormat="1" ht="21" customHeight="1" hidden="1">
      <c r="A286" s="217"/>
      <c r="B286" s="216"/>
      <c r="C286" s="4"/>
      <c r="D286" s="17"/>
      <c r="E286" s="4"/>
      <c r="F286" s="9"/>
      <c r="G286" s="19">
        <f aca="true" t="shared" si="17" ref="G286:G292">D286</f>
        <v>0</v>
      </c>
      <c r="I286" s="46"/>
    </row>
    <row r="287" spans="1:9" s="20" customFormat="1" ht="63">
      <c r="A287" s="217"/>
      <c r="B287" s="216"/>
      <c r="C287" s="4" t="s">
        <v>512</v>
      </c>
      <c r="D287" s="17">
        <v>0</v>
      </c>
      <c r="E287" s="4"/>
      <c r="F287" s="9"/>
      <c r="G287" s="19">
        <f t="shared" si="17"/>
        <v>0</v>
      </c>
      <c r="I287" s="46"/>
    </row>
    <row r="288" spans="1:9" s="20" customFormat="1" ht="63">
      <c r="A288" s="217"/>
      <c r="B288" s="216"/>
      <c r="C288" s="4" t="s">
        <v>511</v>
      </c>
      <c r="D288" s="17">
        <v>0</v>
      </c>
      <c r="E288" s="4"/>
      <c r="F288" s="9"/>
      <c r="G288" s="19">
        <f t="shared" si="17"/>
        <v>0</v>
      </c>
      <c r="I288" s="46"/>
    </row>
    <row r="289" spans="1:9" s="20" customFormat="1" ht="47.25">
      <c r="A289" s="217"/>
      <c r="B289" s="216"/>
      <c r="C289" s="4" t="s">
        <v>516</v>
      </c>
      <c r="D289" s="17">
        <v>0</v>
      </c>
      <c r="E289" s="4"/>
      <c r="F289" s="9"/>
      <c r="G289" s="19">
        <f t="shared" si="17"/>
        <v>0</v>
      </c>
      <c r="I289" s="46"/>
    </row>
    <row r="290" spans="1:9" s="20" customFormat="1" ht="63">
      <c r="A290" s="217"/>
      <c r="B290" s="216"/>
      <c r="C290" s="4" t="s">
        <v>529</v>
      </c>
      <c r="D290" s="17">
        <v>0</v>
      </c>
      <c r="E290" s="4"/>
      <c r="F290" s="9"/>
      <c r="G290" s="19">
        <f t="shared" si="17"/>
        <v>0</v>
      </c>
      <c r="I290" s="46"/>
    </row>
    <row r="291" spans="1:9" s="20" customFormat="1" ht="47.25">
      <c r="A291" s="217"/>
      <c r="B291" s="216"/>
      <c r="C291" s="4" t="s">
        <v>526</v>
      </c>
      <c r="D291" s="17">
        <v>0</v>
      </c>
      <c r="E291" s="4"/>
      <c r="F291" s="9"/>
      <c r="G291" s="19">
        <f t="shared" si="17"/>
        <v>0</v>
      </c>
      <c r="I291" s="46"/>
    </row>
    <row r="292" spans="1:9" s="20" customFormat="1" ht="65.25" customHeight="1">
      <c r="A292" s="217"/>
      <c r="B292" s="216"/>
      <c r="C292" s="4" t="s">
        <v>538</v>
      </c>
      <c r="D292" s="17">
        <v>0</v>
      </c>
      <c r="E292" s="4"/>
      <c r="F292" s="9"/>
      <c r="G292" s="19">
        <f t="shared" si="17"/>
        <v>0</v>
      </c>
      <c r="I292" s="46"/>
    </row>
    <row r="293" spans="1:9" s="33" customFormat="1" ht="47.25">
      <c r="A293" s="22" t="s">
        <v>390</v>
      </c>
      <c r="B293" s="23" t="s">
        <v>264</v>
      </c>
      <c r="C293" s="23"/>
      <c r="D293" s="24">
        <f>D296+D298+D300+D301+D302+D303+D304</f>
        <v>0</v>
      </c>
      <c r="E293" s="23"/>
      <c r="F293" s="24">
        <f>F294+F295+F296+F297</f>
        <v>0</v>
      </c>
      <c r="G293" s="28">
        <f>D293+F293</f>
        <v>0</v>
      </c>
      <c r="H293" s="48"/>
      <c r="I293" s="46"/>
    </row>
    <row r="294" spans="1:9" s="33" customFormat="1" ht="49.5" customHeight="1">
      <c r="A294" s="18" t="s">
        <v>416</v>
      </c>
      <c r="B294" s="4" t="s">
        <v>417</v>
      </c>
      <c r="C294" s="4"/>
      <c r="D294" s="17"/>
      <c r="E294" s="4" t="s">
        <v>523</v>
      </c>
      <c r="F294" s="19">
        <v>0</v>
      </c>
      <c r="G294" s="19">
        <f>F294</f>
        <v>0</v>
      </c>
      <c r="I294" s="46"/>
    </row>
    <row r="295" spans="1:9" s="33" customFormat="1" ht="49.5" customHeight="1">
      <c r="A295" s="18" t="s">
        <v>301</v>
      </c>
      <c r="B295" s="4" t="s">
        <v>302</v>
      </c>
      <c r="C295" s="4"/>
      <c r="D295" s="17"/>
      <c r="E295" s="4" t="s">
        <v>526</v>
      </c>
      <c r="F295" s="19">
        <v>0</v>
      </c>
      <c r="G295" s="19">
        <f>F295</f>
        <v>0</v>
      </c>
      <c r="I295" s="46"/>
    </row>
    <row r="296" spans="1:9" s="20" customFormat="1" ht="48" customHeight="1">
      <c r="A296" s="18" t="s">
        <v>311</v>
      </c>
      <c r="B296" s="4" t="s">
        <v>312</v>
      </c>
      <c r="C296" s="4" t="s">
        <v>526</v>
      </c>
      <c r="D296" s="17">
        <v>0</v>
      </c>
      <c r="E296" s="4" t="s">
        <v>526</v>
      </c>
      <c r="F296" s="19">
        <v>0</v>
      </c>
      <c r="G296" s="19">
        <f>D296+F296</f>
        <v>0</v>
      </c>
      <c r="I296" s="46"/>
    </row>
    <row r="297" spans="1:9" s="20" customFormat="1" ht="100.5" customHeight="1">
      <c r="A297" s="18" t="s">
        <v>288</v>
      </c>
      <c r="B297" s="4" t="s">
        <v>475</v>
      </c>
      <c r="C297" s="4"/>
      <c r="D297" s="17"/>
      <c r="E297" s="4" t="s">
        <v>536</v>
      </c>
      <c r="F297" s="19">
        <v>0</v>
      </c>
      <c r="G297" s="19">
        <f>F297</f>
        <v>0</v>
      </c>
      <c r="I297" s="46"/>
    </row>
    <row r="298" spans="1:9" s="20" customFormat="1" ht="47.25">
      <c r="A298" s="217" t="s">
        <v>294</v>
      </c>
      <c r="B298" s="216" t="s">
        <v>309</v>
      </c>
      <c r="C298" s="4" t="s">
        <v>507</v>
      </c>
      <c r="D298" s="17">
        <v>0</v>
      </c>
      <c r="E298" s="4"/>
      <c r="F298" s="9"/>
      <c r="G298" s="19">
        <f aca="true" t="shared" si="18" ref="G298:G304">D298</f>
        <v>0</v>
      </c>
      <c r="I298" s="46"/>
    </row>
    <row r="299" spans="1:9" s="20" customFormat="1" ht="30.75" customHeight="1" hidden="1">
      <c r="A299" s="217"/>
      <c r="B299" s="216"/>
      <c r="C299" s="4"/>
      <c r="D299" s="17"/>
      <c r="E299" s="4"/>
      <c r="F299" s="9"/>
      <c r="G299" s="19">
        <f t="shared" si="18"/>
        <v>0</v>
      </c>
      <c r="I299" s="46"/>
    </row>
    <row r="300" spans="1:9" s="20" customFormat="1" ht="63">
      <c r="A300" s="217"/>
      <c r="B300" s="216"/>
      <c r="C300" s="4" t="s">
        <v>511</v>
      </c>
      <c r="D300" s="17">
        <v>0</v>
      </c>
      <c r="E300" s="4"/>
      <c r="F300" s="9"/>
      <c r="G300" s="19">
        <f t="shared" si="18"/>
        <v>0</v>
      </c>
      <c r="I300" s="46"/>
    </row>
    <row r="301" spans="1:9" s="20" customFormat="1" ht="47.25">
      <c r="A301" s="217"/>
      <c r="B301" s="216"/>
      <c r="C301" s="4" t="s">
        <v>516</v>
      </c>
      <c r="D301" s="17">
        <v>0</v>
      </c>
      <c r="E301" s="4"/>
      <c r="F301" s="9"/>
      <c r="G301" s="19">
        <f t="shared" si="18"/>
        <v>0</v>
      </c>
      <c r="I301" s="46"/>
    </row>
    <row r="302" spans="1:9" s="20" customFormat="1" ht="63">
      <c r="A302" s="217"/>
      <c r="B302" s="216"/>
      <c r="C302" s="4" t="s">
        <v>529</v>
      </c>
      <c r="D302" s="17">
        <v>0</v>
      </c>
      <c r="E302" s="4"/>
      <c r="F302" s="9"/>
      <c r="G302" s="19">
        <f t="shared" si="18"/>
        <v>0</v>
      </c>
      <c r="I302" s="46"/>
    </row>
    <row r="303" spans="1:9" s="20" customFormat="1" ht="47.25">
      <c r="A303" s="217"/>
      <c r="B303" s="216"/>
      <c r="C303" s="4" t="s">
        <v>526</v>
      </c>
      <c r="D303" s="17">
        <v>0</v>
      </c>
      <c r="E303" s="4"/>
      <c r="F303" s="9"/>
      <c r="G303" s="19">
        <f t="shared" si="18"/>
        <v>0</v>
      </c>
      <c r="I303" s="46"/>
    </row>
    <row r="304" spans="1:9" s="20" customFormat="1" ht="69" customHeight="1">
      <c r="A304" s="217"/>
      <c r="B304" s="216"/>
      <c r="C304" s="4" t="s">
        <v>538</v>
      </c>
      <c r="D304" s="17">
        <v>0</v>
      </c>
      <c r="E304" s="4"/>
      <c r="F304" s="9"/>
      <c r="G304" s="19">
        <f t="shared" si="18"/>
        <v>0</v>
      </c>
      <c r="I304" s="46"/>
    </row>
    <row r="305" spans="1:9" s="20" customFormat="1" ht="46.5" customHeight="1">
      <c r="A305" s="22" t="s">
        <v>391</v>
      </c>
      <c r="B305" s="23" t="s">
        <v>265</v>
      </c>
      <c r="C305" s="4"/>
      <c r="D305" s="24">
        <f>D306+D308+D309+D311+D312+D314+D315+D316</f>
        <v>0</v>
      </c>
      <c r="E305" s="4"/>
      <c r="F305" s="24">
        <f>F307</f>
        <v>0</v>
      </c>
      <c r="G305" s="24">
        <f>D305+F305</f>
        <v>0</v>
      </c>
      <c r="H305" s="47"/>
      <c r="I305" s="46"/>
    </row>
    <row r="306" spans="1:9" s="20" customFormat="1" ht="67.5" customHeight="1">
      <c r="A306" s="217" t="s">
        <v>416</v>
      </c>
      <c r="B306" s="216" t="s">
        <v>417</v>
      </c>
      <c r="C306" s="4" t="s">
        <v>538</v>
      </c>
      <c r="D306" s="17">
        <v>0</v>
      </c>
      <c r="E306" s="4"/>
      <c r="F306" s="24"/>
      <c r="G306" s="19">
        <f>D306</f>
        <v>0</v>
      </c>
      <c r="H306" s="47"/>
      <c r="I306" s="46"/>
    </row>
    <row r="307" spans="1:9" s="20" customFormat="1" ht="64.5" customHeight="1">
      <c r="A307" s="217"/>
      <c r="B307" s="216"/>
      <c r="C307" s="4"/>
      <c r="D307" s="17"/>
      <c r="E307" s="4" t="s">
        <v>523</v>
      </c>
      <c r="F307" s="19">
        <v>0</v>
      </c>
      <c r="G307" s="19">
        <f>F307</f>
        <v>0</v>
      </c>
      <c r="I307" s="46"/>
    </row>
    <row r="308" spans="1:9" s="20" customFormat="1" ht="45.75" customHeight="1">
      <c r="A308" s="18" t="s">
        <v>311</v>
      </c>
      <c r="B308" s="4" t="s">
        <v>312</v>
      </c>
      <c r="C308" s="4" t="s">
        <v>526</v>
      </c>
      <c r="D308" s="17">
        <v>0</v>
      </c>
      <c r="E308" s="4"/>
      <c r="F308" s="19"/>
      <c r="G308" s="19">
        <f>D308</f>
        <v>0</v>
      </c>
      <c r="I308" s="46"/>
    </row>
    <row r="309" spans="1:9" s="20" customFormat="1" ht="47.25">
      <c r="A309" s="217" t="s">
        <v>294</v>
      </c>
      <c r="B309" s="216" t="s">
        <v>309</v>
      </c>
      <c r="C309" s="4" t="s">
        <v>507</v>
      </c>
      <c r="D309" s="17">
        <v>0</v>
      </c>
      <c r="E309" s="4"/>
      <c r="F309" s="9"/>
      <c r="G309" s="19">
        <f aca="true" t="shared" si="19" ref="G309:G316">D309</f>
        <v>0</v>
      </c>
      <c r="I309" s="46"/>
    </row>
    <row r="310" spans="1:9" s="20" customFormat="1" ht="15.75" customHeight="1" hidden="1">
      <c r="A310" s="217"/>
      <c r="B310" s="216"/>
      <c r="C310" s="4"/>
      <c r="D310" s="17"/>
      <c r="E310" s="4"/>
      <c r="F310" s="19">
        <v>0</v>
      </c>
      <c r="G310" s="19">
        <f t="shared" si="19"/>
        <v>0</v>
      </c>
      <c r="I310" s="46"/>
    </row>
    <row r="311" spans="1:9" s="20" customFormat="1" ht="63">
      <c r="A311" s="217"/>
      <c r="B311" s="216"/>
      <c r="C311" s="4" t="s">
        <v>511</v>
      </c>
      <c r="D311" s="17">
        <v>0</v>
      </c>
      <c r="E311" s="4"/>
      <c r="F311" s="9"/>
      <c r="G311" s="19">
        <f t="shared" si="19"/>
        <v>0</v>
      </c>
      <c r="I311" s="46"/>
    </row>
    <row r="312" spans="1:9" s="20" customFormat="1" ht="47.25">
      <c r="A312" s="217"/>
      <c r="B312" s="216"/>
      <c r="C312" s="4" t="s">
        <v>516</v>
      </c>
      <c r="D312" s="17">
        <v>0</v>
      </c>
      <c r="E312" s="4"/>
      <c r="F312" s="9"/>
      <c r="G312" s="19">
        <f t="shared" si="19"/>
        <v>0</v>
      </c>
      <c r="I312" s="46"/>
    </row>
    <row r="313" spans="1:9" s="20" customFormat="1" ht="24.75" customHeight="1" hidden="1">
      <c r="A313" s="217"/>
      <c r="B313" s="216"/>
      <c r="C313" s="4"/>
      <c r="D313" s="5"/>
      <c r="E313" s="4"/>
      <c r="F313" s="9"/>
      <c r="G313" s="19">
        <f t="shared" si="19"/>
        <v>0</v>
      </c>
      <c r="I313" s="46"/>
    </row>
    <row r="314" spans="1:9" s="20" customFormat="1" ht="63">
      <c r="A314" s="217"/>
      <c r="B314" s="216"/>
      <c r="C314" s="4" t="s">
        <v>529</v>
      </c>
      <c r="D314" s="17">
        <v>0</v>
      </c>
      <c r="E314" s="4"/>
      <c r="F314" s="9"/>
      <c r="G314" s="19">
        <f t="shared" si="19"/>
        <v>0</v>
      </c>
      <c r="I314" s="46"/>
    </row>
    <row r="315" spans="1:9" s="20" customFormat="1" ht="47.25">
      <c r="A315" s="217"/>
      <c r="B315" s="216"/>
      <c r="C315" s="4" t="s">
        <v>526</v>
      </c>
      <c r="D315" s="17">
        <v>0</v>
      </c>
      <c r="E315" s="4"/>
      <c r="F315" s="9"/>
      <c r="G315" s="19">
        <f t="shared" si="19"/>
        <v>0</v>
      </c>
      <c r="I315" s="46"/>
    </row>
    <row r="316" spans="1:9" s="20" customFormat="1" ht="68.25" customHeight="1">
      <c r="A316" s="217"/>
      <c r="B316" s="216"/>
      <c r="C316" s="4" t="s">
        <v>538</v>
      </c>
      <c r="D316" s="17">
        <v>0</v>
      </c>
      <c r="E316" s="4"/>
      <c r="F316" s="9"/>
      <c r="G316" s="19">
        <f t="shared" si="19"/>
        <v>0</v>
      </c>
      <c r="I316" s="46"/>
    </row>
    <row r="317" spans="1:11" s="34" customFormat="1" ht="15.75">
      <c r="A317" s="23"/>
      <c r="B317" s="23" t="s">
        <v>283</v>
      </c>
      <c r="C317" s="23"/>
      <c r="D317" s="28">
        <f>D11+D31+D70+D93+D121+D142+D147+D149+D177+D180+D187+D190+D195+D207+D212+D218+D224+D228+D243+D255+D267+D277+D293+D305</f>
        <v>0</v>
      </c>
      <c r="E317" s="27"/>
      <c r="F317" s="28">
        <f>F11+F31+F70+F93+F121+F142+F147+F149+F177+F180+F187+F190+F195+F207+F212+F218+F224+F228+F243+F255+F267+F277+F293+F305</f>
        <v>0</v>
      </c>
      <c r="G317" s="28">
        <f>D317+F317</f>
        <v>0</v>
      </c>
      <c r="I317" s="46"/>
      <c r="K317" s="45"/>
    </row>
    <row r="318" spans="1:8" ht="15" customHeight="1">
      <c r="A318" s="65"/>
      <c r="B318" s="65"/>
      <c r="C318" s="65"/>
      <c r="D318" s="65"/>
      <c r="E318" s="65"/>
      <c r="F318" s="65"/>
      <c r="G318" s="65"/>
      <c r="H318" s="63"/>
    </row>
    <row r="319" spans="1:6" s="11" customFormat="1" ht="35.25" customHeight="1">
      <c r="A319" s="284" t="s">
        <v>451</v>
      </c>
      <c r="B319" s="284"/>
      <c r="C319" s="66"/>
      <c r="D319" s="67"/>
      <c r="E319" s="54"/>
      <c r="F319" s="57" t="s">
        <v>452</v>
      </c>
    </row>
    <row r="320" spans="4:7" ht="18" customHeight="1">
      <c r="D320" s="10"/>
      <c r="F320" s="34"/>
      <c r="G320" s="45"/>
    </row>
    <row r="321" spans="4:7" ht="18" customHeight="1">
      <c r="D321" s="10"/>
      <c r="F321" s="34"/>
      <c r="G321" s="45"/>
    </row>
    <row r="322" ht="18" customHeight="1"/>
    <row r="323" spans="4:9" ht="18" customHeight="1">
      <c r="D323" s="10"/>
      <c r="F323" s="41"/>
      <c r="G323" s="42"/>
      <c r="H323" s="41"/>
      <c r="I323" s="10"/>
    </row>
    <row r="324" spans="4:6" ht="18" customHeight="1">
      <c r="D324" s="10"/>
      <c r="F324" s="10"/>
    </row>
    <row r="325" spans="4:6" ht="18" customHeight="1">
      <c r="D325" s="10"/>
      <c r="F325" s="10"/>
    </row>
    <row r="326" spans="4:6" ht="15.75">
      <c r="D326" s="10"/>
      <c r="F326" s="10"/>
    </row>
    <row r="327" spans="3:6" ht="15.75">
      <c r="C327" s="3"/>
      <c r="F327" s="10"/>
    </row>
    <row r="328" ht="15.75">
      <c r="F328" s="10"/>
    </row>
    <row r="329" ht="15.75">
      <c r="F329" s="10"/>
    </row>
    <row r="330" ht="15.75">
      <c r="F330" s="10"/>
    </row>
    <row r="331" ht="15.75">
      <c r="F331" s="10"/>
    </row>
    <row r="332" ht="15.75">
      <c r="F332" s="10"/>
    </row>
    <row r="333" ht="15.75">
      <c r="F333" s="10"/>
    </row>
    <row r="334" ht="15.75">
      <c r="F334" s="10"/>
    </row>
    <row r="335" ht="15.75">
      <c r="F335" s="10"/>
    </row>
    <row r="336" ht="15.75">
      <c r="F336" s="10"/>
    </row>
    <row r="337" ht="15.75">
      <c r="F337" s="10"/>
    </row>
    <row r="338" ht="15.75">
      <c r="F338" s="10"/>
    </row>
    <row r="339" ht="15.75">
      <c r="F339" s="10"/>
    </row>
    <row r="340" ht="15.75">
      <c r="F340" s="10"/>
    </row>
    <row r="341" spans="5:8" ht="15.75">
      <c r="E341" s="7"/>
      <c r="F341" s="10"/>
      <c r="H341" s="10"/>
    </row>
    <row r="343" spans="3:7" ht="15.75">
      <c r="C343" s="43"/>
      <c r="D343" s="44"/>
      <c r="E343" s="43"/>
      <c r="F343" s="44"/>
      <c r="G343" s="43"/>
    </row>
    <row r="344" spans="3:7" ht="15.75">
      <c r="C344" s="43"/>
      <c r="D344" s="44"/>
      <c r="E344" s="43"/>
      <c r="F344" s="44"/>
      <c r="G344" s="43"/>
    </row>
    <row r="345" spans="3:7" ht="15.75">
      <c r="C345" s="43"/>
      <c r="D345" s="43"/>
      <c r="E345" s="43"/>
      <c r="F345" s="43"/>
      <c r="G345" s="44"/>
    </row>
  </sheetData>
  <sheetProtection/>
  <mergeCells count="116">
    <mergeCell ref="C16:C19"/>
    <mergeCell ref="A5:G5"/>
    <mergeCell ref="B8:B9"/>
    <mergeCell ref="C8:D8"/>
    <mergeCell ref="E8:F8"/>
    <mergeCell ref="A12:A13"/>
    <mergeCell ref="B12:B13"/>
    <mergeCell ref="A14:A15"/>
    <mergeCell ref="B14:B15"/>
    <mergeCell ref="A16:A19"/>
    <mergeCell ref="B16:B19"/>
    <mergeCell ref="A34:A36"/>
    <mergeCell ref="B34:B36"/>
    <mergeCell ref="A37:A42"/>
    <mergeCell ref="B37:B42"/>
    <mergeCell ref="A23:A30"/>
    <mergeCell ref="B23:B30"/>
    <mergeCell ref="C68:C69"/>
    <mergeCell ref="A72:A76"/>
    <mergeCell ref="B72:B76"/>
    <mergeCell ref="A43:A45"/>
    <mergeCell ref="B43:B45"/>
    <mergeCell ref="A46:A50"/>
    <mergeCell ref="B46:B50"/>
    <mergeCell ref="A58:A60"/>
    <mergeCell ref="B58:B60"/>
    <mergeCell ref="A83:A85"/>
    <mergeCell ref="B83:B85"/>
    <mergeCell ref="A62:A63"/>
    <mergeCell ref="B62:B63"/>
    <mergeCell ref="A64:A66"/>
    <mergeCell ref="B64:B66"/>
    <mergeCell ref="A77:A79"/>
    <mergeCell ref="B77:B79"/>
    <mergeCell ref="A80:A82"/>
    <mergeCell ref="B80:B82"/>
    <mergeCell ref="A108:A109"/>
    <mergeCell ref="B108:B109"/>
    <mergeCell ref="A91:A92"/>
    <mergeCell ref="B91:B92"/>
    <mergeCell ref="A94:A96"/>
    <mergeCell ref="B94:B96"/>
    <mergeCell ref="A97:A98"/>
    <mergeCell ref="B97:B98"/>
    <mergeCell ref="A101:A105"/>
    <mergeCell ref="B101:B105"/>
    <mergeCell ref="A106:A107"/>
    <mergeCell ref="B106:B107"/>
    <mergeCell ref="A130:A132"/>
    <mergeCell ref="B130:B132"/>
    <mergeCell ref="A110:A111"/>
    <mergeCell ref="B110:B111"/>
    <mergeCell ref="B112:B114"/>
    <mergeCell ref="A113:A114"/>
    <mergeCell ref="A123:A124"/>
    <mergeCell ref="B123:B124"/>
    <mergeCell ref="A134:A138"/>
    <mergeCell ref="B134:B138"/>
    <mergeCell ref="A150:A151"/>
    <mergeCell ref="B150:B151"/>
    <mergeCell ref="A153:A154"/>
    <mergeCell ref="B153:B154"/>
    <mergeCell ref="A162:A163"/>
    <mergeCell ref="B162:B163"/>
    <mergeCell ref="A159:A160"/>
    <mergeCell ref="B159:B160"/>
    <mergeCell ref="A155:A157"/>
    <mergeCell ref="B155:B157"/>
    <mergeCell ref="A125:A127"/>
    <mergeCell ref="B125:B127"/>
    <mergeCell ref="A128:A129"/>
    <mergeCell ref="B128:B129"/>
    <mergeCell ref="D202:D203"/>
    <mergeCell ref="A164:A166"/>
    <mergeCell ref="B164:B166"/>
    <mergeCell ref="A169:A170"/>
    <mergeCell ref="B169:B170"/>
    <mergeCell ref="A182:A184"/>
    <mergeCell ref="B182:B184"/>
    <mergeCell ref="C221:C223"/>
    <mergeCell ref="A226:A227"/>
    <mergeCell ref="B226:B227"/>
    <mergeCell ref="A199:A200"/>
    <mergeCell ref="B199:B200"/>
    <mergeCell ref="A201:A203"/>
    <mergeCell ref="B201:B203"/>
    <mergeCell ref="C201:C203"/>
    <mergeCell ref="A245:A246"/>
    <mergeCell ref="B245:B246"/>
    <mergeCell ref="A205:A206"/>
    <mergeCell ref="B205:B206"/>
    <mergeCell ref="A210:A211"/>
    <mergeCell ref="B210:B211"/>
    <mergeCell ref="A230:A231"/>
    <mergeCell ref="B230:B231"/>
    <mergeCell ref="A235:A242"/>
    <mergeCell ref="B235:B242"/>
    <mergeCell ref="A249:A254"/>
    <mergeCell ref="B249:B254"/>
    <mergeCell ref="B298:B304"/>
    <mergeCell ref="A260:A266"/>
    <mergeCell ref="B260:B266"/>
    <mergeCell ref="A271:A276"/>
    <mergeCell ref="B271:B276"/>
    <mergeCell ref="A279:A280"/>
    <mergeCell ref="B279:B280"/>
    <mergeCell ref="A319:B319"/>
    <mergeCell ref="A281:A282"/>
    <mergeCell ref="B281:B282"/>
    <mergeCell ref="A285:A292"/>
    <mergeCell ref="B285:B292"/>
    <mergeCell ref="A298:A304"/>
    <mergeCell ref="A306:A307"/>
    <mergeCell ref="B306:B307"/>
    <mergeCell ref="A309:A316"/>
    <mergeCell ref="B309:B316"/>
  </mergeCells>
  <printOptions/>
  <pageMargins left="0.3937007874015748" right="0.2362204724409449" top="0.41" bottom="0.3" header="0.2362204724409449" footer="0.2362204724409449"/>
  <pageSetup fitToHeight="16" horizontalDpi="600" verticalDpi="600" orientation="landscape" paperSize="9" scale="66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2015-03-25T10:06:53Z</cp:lastPrinted>
  <dcterms:created xsi:type="dcterms:W3CDTF">1996-10-08T23:32:33Z</dcterms:created>
  <dcterms:modified xsi:type="dcterms:W3CDTF">2015-04-02T07:08:25Z</dcterms:modified>
  <cp:category/>
  <cp:version/>
  <cp:contentType/>
  <cp:contentStatus/>
</cp:coreProperties>
</file>